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BB20D784-DEEE-4C13-AF22-70A10C531BC4}"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52"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9" i="5"/>
  <c r="AE37" i="5"/>
  <c r="AE51" i="5"/>
  <c r="AE27" i="5"/>
  <c r="AE74" i="5"/>
  <c r="AE84" i="5"/>
  <c r="AE46" i="5"/>
  <c r="AE38" i="5"/>
  <c r="AE44" i="5"/>
  <c r="AE36" i="5"/>
  <c r="AE41" i="5"/>
  <c r="AE29" i="5"/>
  <c r="AE42" i="5"/>
  <c r="AE34" i="5"/>
  <c r="AE55" i="5"/>
  <c r="AE60" i="5"/>
  <c r="AE75" i="5"/>
  <c r="AE79" i="5"/>
  <c r="AE30" i="5"/>
  <c r="AE54" i="5"/>
  <c r="AE28" i="5"/>
  <c r="AE35" i="5"/>
  <c r="AE69" i="5"/>
  <c r="AE78" i="5"/>
  <c r="AE71"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<sst xmlns="http://schemas.openxmlformats.org/spreadsheetml/2006/main" count="4491" uniqueCount="556">
  <si>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</si>
  <si>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</si>
  <si>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</si>
  <si>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</si>
  <si>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</si>
  <si>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</si>
  <si>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</si>
  <si>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</si>
  <si>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</si>
  <si>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</si>
  <si>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</si>
  <si>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</si>
  <si>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</si>
  <si>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</si>
  <si>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</si>
  <si>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</si>
  <si>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</si>
  <si>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</si>
  <si>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</si>
  <si>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</si>
  <si>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</si>
  <si>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</si>
  <si>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</si>
  <si>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</si>
  <si>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</si>
  <si>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</si>
  <si>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</si>
  <si>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</si>
  <si>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</si>
  <si>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</si>
  <si>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</si>
  <si>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</si>
  <si>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</si>
  <si>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</si>
  <si>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</si>
  <si>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</si>
  <si>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</si>
  <si>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</si>
  <si>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</si>
  <si>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</si>
  <si>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</si>
  <si>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</si>
  <si>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</si>
  <si>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</si>
  <si>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</si>
  <si>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</si>
  <si>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</si>
  <si>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</si>
  <si>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</si>
  <si>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</si>
  <si>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</si>
  <si>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</si>
  <si>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</si>
  <si>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</si>
  <si>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</si>
  <si>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</si>
  <si>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</si>
  <si>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</si>
  <si>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</si>
  <si>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</si>
  <si>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</si>
  <si>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</si>
  <si>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</si>
  <si>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</si>
  <si>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</si>
  <si>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</si>
  <si>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</si>
  <si>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</si>
  <si>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</si>
  <si>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</si>
  <si>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</si>
  <si>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</si>
  <si>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</si>
  <si>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</si>
  <si>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</si>
  <si>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</si>
  <si>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</si>
  <si>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</si>
  <si>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</si>
  <si>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</si>
  <si>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</si>
  <si>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</si>
  <si>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</si>
  <si>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</si>
  <si>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</si>
  <si>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</si>
  <si>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</si>
  <si>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</si>
  <si>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</si>
  <si>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</si>
  <si>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</si>
  <si>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</si>
  <si>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</si>
  <si>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</si>
  <si>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</si>
  <si>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</si>
  <si>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</si>
  <si>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</si>
  <si>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</si>
  <si>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</si>
  <si>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</si>
  <si>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</si>
  <si>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</si>
  <si>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</si>
  <si>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</si>
  <si>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</si>
  <si>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</si>
  <si>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</si>
  <si>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</si>
  <si>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</si>
  <si>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</si>
  <si>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</si>
  <si>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</si>
  <si>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</si>
  <si>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</si>
  <si>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</si>
  <si>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</si>
  <si>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</si>
  <si>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</si>
  <si>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</si>
  <si>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</si>
  <si>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</si>
  <si>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</si>
  <si>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</si>
  <si>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</si>
  <si>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</si>
  <si>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</si>
  <si>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</si>
  <si>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</si>
  <si>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</si>
  <si>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</si>
  <si>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</si>
  <si>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</si>
  <si>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</si>
  <si>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</si>
  <si>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</si>
  <si>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</si>
  <si>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</si>
  <si>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</si>
  <si>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</si>
  <si>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</si>
  <si>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</si>
  <si>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</si>
  <si>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</si>
  <si>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</si>
  <si>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</si>
  <si>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</si>
  <si>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</si>
  <si>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</si>
  <si>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</si>
  <si>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</si>
  <si>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</si>
  <si>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</si>
  <si>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</si>
  <si>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</si>
  <si>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</si>
  <si>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</si>
  <si>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</si>
  <si>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</si>
  <si>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</si>
  <si>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</si>
  <si>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</si>
  <si>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</si>
  <si>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</si>
  <si>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</si>
  <si>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</si>
  <si>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</si>
  <si>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</si>
  <si>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</si>
  <si>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</si>
  <si>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</si>
  <si>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</si>
  <si>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</si>
  <si>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</si>
  <si>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</si>
  <si>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</si>
  <si>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</si>
  <si>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</si>
  <si>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</si>
  <si>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</si>
  <si>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</si>
  <si>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</si>
  <si>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</si>
  <si>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</si>
  <si>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</si>
  <si>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</si>
  <si>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</si>
  <si>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</si>
  <si>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</si>
  <si>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</si>
  <si>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</si>
  <si>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</si>
  <si>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</si>
  <si>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</si>
  <si>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</si>
  <si>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</si>
  <si>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</si>
  <si>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</si>
  <si>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</si>
  <si>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</si>
  <si>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</si>
  <si>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</si>
  <si>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</si>
  <si>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</si>
  <si>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</si>
  <si>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</si>
  <si>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</si>
  <si>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</si>
  <si>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</si>
  <si>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</si>
  <si>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</si>
  <si>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</si>
  <si>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</si>
  <si>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</si>
  <si>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</si>
  <si>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</si>
  <si>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</si>
  <si>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</si>
  <si>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</si>
  <si>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</si>
  <si>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</si>
  <si>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</si>
  <si>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</si>
  <si>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</si>
  <si>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</si>
  <si>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</si>
  <si>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</si>
  <si>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</si>
  <si>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</si>
  <si>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</si>
  <si>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</si>
  <si>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</si>
  <si>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</si>
  <si>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</si>
  <si>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</si>
  <si>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</si>
  <si>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</si>
  <si>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</si>
  <si>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</si>
  <si>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</si>
  <si>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</si>
  <si>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</si>
  <si>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</si>
  <si>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</si>
  <si>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</si>
  <si>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</si>
  <si>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</si>
  <si>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</si>
  <si>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</si>
  <si>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</si>
  <si>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</si>
  <si>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</si>
  <si>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</si>
  <si>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</si>
  <si>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</si>
  <si>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</si>
  <si>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</si>
  <si>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</si>
  <si>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</si>
  <si>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</si>
  <si>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</si>
  <si>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</si>
  <si>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</si>
  <si>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</si>
  <si>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</si>
  <si>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</si>
  <si>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</si>
  <si>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</si>
  <si>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</si>
  <si>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</si>
  <si>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</si>
  <si>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</si>
  <si>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</si>
  <si>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</si>
  <si>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</si>
  <si>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</si>
  <si>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</si>
  <si>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</si>
  <si>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</si>
  <si>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</si>
  <si>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</si>
  <si>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</si>
  <si>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</si>
  <si>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</si>
  <si>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</si>
  <si>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</si>
  <si>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</si>
  <si>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</si>
  <si>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</si>
  <si>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</si>
  <si>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</si>
  <si>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</si>
  <si>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</si>
  <si>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</si>
  <si>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</si>
  <si>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</si>
  <si>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</si>
  <si>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</si>
  <si>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</si>
  <si>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</si>
  <si>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</si>
  <si>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</si>
  <si>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</si>
  <si>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</si>
  <si>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</si>
  <si>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</si>
  <si>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</si>
  <si>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</si>
  <si>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</si>
  <si>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</si>
  <si>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</si>
  <si>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</si>
  <si>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</si>
  <si>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</si>
  <si>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</si>
  <si>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</si>
  <si>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</si>
  <si>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</si>
  <si>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</si>
  <si>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</si>
  <si>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</si>
  <si>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</si>
  <si>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</si>
  <si>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</si>
  <si>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</si>
  <si>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</si>
  <si>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</si>
  <si>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</si>
  <si>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</si>
  <si>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</si>
  <si>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</si>
  <si>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</si>
  <si>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</si>
  <si>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</si>
  <si>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</si>
  <si>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</si>
  <si>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</si>
  <si>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</si>
  <si>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</si>
  <si>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</si>
  <si>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</si>
  <si>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</si>
  <si>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</si>
  <si>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</si>
  <si>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</si>
  <si>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</si>
  <si>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</si>
  <si>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</si>
  <si>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</si>
  <si>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</si>
  <si>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</si>
  <si>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</si>
  <si>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</si>
  <si>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</si>
  <si>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</si>
  <si>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</si>
  <si>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</si>
  <si>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</si>
  <si>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</si>
  <si>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</si>
  <si>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</si>
  <si>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</si>
  <si>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</si>
  <si>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</si>
  <si>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</si>
  <si>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</si>
  <si>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</si>
  <si>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</si>
  <si>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</si>
  <si>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</si>
  <si>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</si>
  <si>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</si>
  <si>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</si>
  <si>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</si>
  <si>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</si>
  <si>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</si>
  <si>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</si>
  <si>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</si>
  <si>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</si>
  <si>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</si>
  <si>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</si>
  <si>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</si>
  <si>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</si>
  <si>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</si>
  <si>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</si>
  <si>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</si>
  <si>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</si>
  <si>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</si>
  <si>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</si>
  <si>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</si>
  <si>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</si>
  <si>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</si>
  <si>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</si>
  <si>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</si>
  <si>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</si>
  <si>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</si>
  <si>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</si>
  <si>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</si>
  <si>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</si>
  <si>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</si>
  <si>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</si>
  <si>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</si>
  <si>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</si>
  <si>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</si>
  <si>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</si>
  <si>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</si>
  <si>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</si>
  <si>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</si>
  <si>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</si>
  <si>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</si>
  <si>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</si>
  <si>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</si>
  <si>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</si>
  <si>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</si>
  <si>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</si>
  <si>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</si>
  <si>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</si>
  <si>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</si>
  <si>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</si>
  <si>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</si>
  <si>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</si>
  <si>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</si>
  <si>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</si>
  <si>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</si>
  <si>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</si>
  <si>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</si>
  <si>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</si>
  <si>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</si>
  <si>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</si>
  <si>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</si>
  <si>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</si>
  <si>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</si>
  <si>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</si>
  <si>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</si>
  <si>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</si>
  <si>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</si>
  <si>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</si>
  <si>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</si>
  <si>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</si>
  <si>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</si>
  <si>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</si>
  <si>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</si>
  <si>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</si>
  <si>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</si>
  <si>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</si>
  <si>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</si>
  <si>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</si>
  <si>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M_00.0010.000010</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</si>
  <si>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</si>
  <si>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</si>
  <si>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</si>
  <si>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</si>
  <si>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</si>
  <si>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</si>
  <si>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</si>
  <si>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</si>
  <si>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</si>
  <si>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</si>
  <si>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</si>
  <si>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</si>
  <si>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</si>
  <si>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</si>
  <si>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</si>
  <si>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</si>
  <si>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</si>
  <si>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</si>
  <si>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</si>
  <si>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</si>
  <si>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</si>
  <si>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</si>
  <si>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</si>
  <si>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</si>
  <si>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</si>
  <si>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</si>
  <si>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</si>
  <si>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</si>
  <si>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</si>
  <si>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</si>
  <si>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</si>
  <si>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</si>
  <si>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</si>
  <si>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</si>
  <si>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</si>
  <si>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</si>
  <si>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</si>
  <si>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</si>
  <si>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</si>
  <si>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</si>
  <si>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</si>
  <si>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</si>
  <si>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</si>
  <si>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</si>
  <si>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</si>
  <si>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</si>
  <si>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</si>
  <si>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</si>
  <si>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</si>
  <si>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</si>
  <si>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</si>
  <si>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</si>
  <si>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</si>
  <si>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</si>
  <si>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</si>
  <si>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</si>
  <si>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</si>
  <si>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</si>
  <si>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</si>
  <si>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</si>
  <si>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системного подрядчика АО «РЭМиС» в связи с недостатком рабочего персонала в АО «РЭМиС» и привлеченных субподрядчиков</t>
  </si>
  <si>
    <t>СМР, ПНР</t>
  </si>
  <si>
    <t>Выполнение строительно-монтажных и пусконаладочных работ по проекту "Замена выключателя ВВБ 220 кВ (В-292) ПС 220 Урожай АО "Электромагистраль"</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</si>
  <si>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</si>
  <si>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</si>
  <si>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</si>
  <si>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</si>
  <si>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</si>
  <si>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</si>
  <si>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</si>
  <si>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</si>
  <si>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</si>
  <si>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АО "РЭМиС"</t>
  </si>
  <si>
    <t>ИП-23-00048 от 10.03.2023</t>
  </si>
  <si>
    <t>ПИР, СМР, ПНР</t>
  </si>
  <si>
    <t>Проектно-изыскательские, строительно-монтажные и пусконаладочные работы по замене выключателя 220 кВ В-292 на ПС 220 кВ Урожай (1ПК)</t>
  </si>
  <si>
    <t>Закупка у единственного поставщика</t>
  </si>
  <si>
    <t>Закупка у единственного поставщика (подрядчика, исполнителя)</t>
  </si>
  <si>
    <t>нет</t>
  </si>
  <si>
    <t>7.7.1</t>
  </si>
  <si>
    <t>ГД</t>
  </si>
  <si>
    <t>04-12-9/1</t>
  </si>
  <si>
    <t>И-1-18  от 28.05.2018</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</si>
  <si>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</si>
  <si>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</si>
  <si>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</si>
  <si>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770 от 02.11.2022; 
№ 770/1 от 11.09.2023</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</si>
  <si>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</si>
  <si>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</si>
  <si>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</si>
  <si>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</si>
  <si>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</si>
  <si>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</si>
  <si>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воздушных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снизить затраты на эксплуатацию компрессорных установок и возможность последующего вывода из эксплуатации компрессорного хозяйства на подстанции, что позволит уменьшить количество опасных производственных объектов, для которых необходима регистрация в органах Ростехнадзора и проведение технического освидетельствования до октября 2022 года.
</t>
  </si>
  <si>
    <t>ПС 220 кВ Урожай</t>
  </si>
  <si>
    <t xml:space="preserve">72635,89 тыс. руб с НДС за 1 выключатель 220 кВ </t>
  </si>
  <si>
    <t>1 этап 1-го пускового комплекса - замена ячейки выключателя В-292;
1 этап 2-го пускового комплекса - замена разъединителей, устройств РЗА ячейки выключателя В-292.</t>
  </si>
  <si>
    <t>1.Объект включён в инвестиционную программу на основании оценки технического состояния, подтвержденный индексом технического состояния (ИТС:45)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без № от 19.05.2017 г.</t>
  </si>
  <si>
    <t>С</t>
  </si>
  <si>
    <t>Сибирский Федеральный округ, Новосибирская область, г. Карасук</t>
  </si>
  <si>
    <t>ВВБ 220 31,5/2000 У1</t>
  </si>
  <si>
    <t>Элегазовый выключатель</t>
  </si>
  <si>
    <t>В-292</t>
  </si>
  <si>
    <t>Акт технического освидетельствования. 
Без № от 19.05.2017 г. 
АО "РЭС"
ООО "Безопасность в промышленности"</t>
  </si>
  <si>
    <t>Общая оценка технического состояния - не удовлетворительное</t>
  </si>
  <si>
    <t/>
  </si>
  <si>
    <t>КВЛ по состоянию на 01.10.2024, тыс. руб. без НДС (без ФОТ)</t>
  </si>
  <si>
    <t>ФИН по состоянию на 01.10.2024, тыс. руб. с НДС (без взаимозачетов)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</si>
</sst>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1"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531</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532</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535</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536</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536</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536</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536</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536</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537</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536</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536</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536</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538</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536</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539</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M_00.0010.000010</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71.759046463064465</v>
      </c>
      <c r="D24" s="279">
        <f t="shared" si="0"/>
        <v>72.635889000216764</v>
      </c>
      <c r="E24" s="284">
        <f t="shared" si="0"/>
        <v>0.7303918079999997</v>
      </c>
      <c r="F24" s="284">
        <f t="shared" si="0"/>
        <v>0</v>
      </c>
      <c r="G24" s="267">
        <f t="shared" si="0"/>
        <v>0.7303918079999997</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60.353622986178479</v>
      </c>
      <c r="D27" s="279">
        <v>61.002328158908966</v>
      </c>
      <c r="E27" s="285">
        <f>J27+N27+G27+P27+T27+X27</f>
        <v>0.7303918079999997</v>
      </c>
      <c r="F27" s="285">
        <f t="shared" si="8"/>
        <v>0</v>
      </c>
      <c r="G27" s="267">
        <v>0.7303918079999997</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553</v>
      </c>
      <c r="J28" s="280">
        <v>0</v>
      </c>
      <c r="K28" s="281" t="s">
        <v>553</v>
      </c>
      <c r="L28" s="266">
        <v>0</v>
      </c>
      <c r="M28" s="268" t="s">
        <v>553</v>
      </c>
      <c r="N28" s="280">
        <v>0</v>
      </c>
      <c r="O28" s="281" t="s">
        <v>553</v>
      </c>
      <c r="P28" s="154">
        <v>0</v>
      </c>
      <c r="Q28" s="154" t="s">
        <v>553</v>
      </c>
      <c r="R28" s="280">
        <v>0</v>
      </c>
      <c r="S28" s="281">
        <v>0</v>
      </c>
      <c r="T28" s="154">
        <v>0</v>
      </c>
      <c r="U28" s="154" t="s">
        <v>553</v>
      </c>
      <c r="V28" s="280">
        <v>0</v>
      </c>
      <c r="W28" s="281">
        <v>0</v>
      </c>
      <c r="X28" s="154">
        <v>0</v>
      </c>
      <c r="Y28" s="154" t="s">
        <v>553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553</v>
      </c>
      <c r="J29" s="280">
        <v>0</v>
      </c>
      <c r="K29" s="281" t="s">
        <v>553</v>
      </c>
      <c r="L29" s="266">
        <v>0</v>
      </c>
      <c r="M29" s="268" t="s">
        <v>553</v>
      </c>
      <c r="N29" s="280">
        <v>0</v>
      </c>
      <c r="O29" s="281" t="s">
        <v>553</v>
      </c>
      <c r="P29" s="154">
        <v>0</v>
      </c>
      <c r="Q29" s="288" t="s">
        <v>553</v>
      </c>
      <c r="R29" s="280">
        <v>0</v>
      </c>
      <c r="S29" s="281">
        <v>0</v>
      </c>
      <c r="T29" s="154">
        <v>0</v>
      </c>
      <c r="U29" s="154" t="s">
        <v>553</v>
      </c>
      <c r="V29" s="280">
        <v>0</v>
      </c>
      <c r="W29" s="281">
        <v>0</v>
      </c>
      <c r="X29" s="154">
        <v>0</v>
      </c>
      <c r="Y29" s="154" t="s">
        <v>553</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553</v>
      </c>
      <c r="J30" s="280">
        <v>0</v>
      </c>
      <c r="K30" s="281" t="s">
        <v>553</v>
      </c>
      <c r="L30" s="266">
        <v>0</v>
      </c>
      <c r="M30" s="268" t="s">
        <v>553</v>
      </c>
      <c r="N30" s="280">
        <v>0</v>
      </c>
      <c r="O30" s="281" t="s">
        <v>553</v>
      </c>
      <c r="P30" s="154">
        <v>0</v>
      </c>
      <c r="Q30" s="154" t="s">
        <v>553</v>
      </c>
      <c r="R30" s="280">
        <v>0</v>
      </c>
      <c r="S30" s="281">
        <v>0</v>
      </c>
      <c r="T30" s="154">
        <v>0</v>
      </c>
      <c r="U30" s="154" t="s">
        <v>553</v>
      </c>
      <c r="V30" s="280">
        <v>0</v>
      </c>
      <c r="W30" s="281">
        <v>0</v>
      </c>
      <c r="X30" s="154">
        <v>0</v>
      </c>
      <c r="Y30" s="154" t="s">
        <v>553</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553</v>
      </c>
      <c r="J31" s="280">
        <v>0</v>
      </c>
      <c r="K31" s="281" t="s">
        <v>553</v>
      </c>
      <c r="L31" s="266">
        <v>0</v>
      </c>
      <c r="M31" s="268" t="s">
        <v>553</v>
      </c>
      <c r="N31" s="280">
        <v>0</v>
      </c>
      <c r="O31" s="281" t="s">
        <v>553</v>
      </c>
      <c r="P31" s="154">
        <v>0</v>
      </c>
      <c r="Q31" s="154" t="s">
        <v>553</v>
      </c>
      <c r="R31" s="280">
        <v>0</v>
      </c>
      <c r="S31" s="281">
        <v>0</v>
      </c>
      <c r="T31" s="154">
        <v>0</v>
      </c>
      <c r="U31" s="154" t="s">
        <v>553</v>
      </c>
      <c r="V31" s="280">
        <v>0</v>
      </c>
      <c r="W31" s="281">
        <v>0</v>
      </c>
      <c r="X31" s="154">
        <v>0</v>
      </c>
      <c r="Y31" s="154" t="s">
        <v>553</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11.405423476885989</v>
      </c>
      <c r="D33" s="280">
        <v>11.633560841307794</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60.338369995231695</v>
      </c>
      <c r="D34" s="279">
        <f t="shared" ref="D34:G34" si="19">SUM(D35:D38)</f>
        <v>60.978478450000004</v>
      </c>
      <c r="E34" s="285">
        <f t="shared" ref="E34" si="20">J34+N34+G34+P34+T34+X34</f>
        <v>0.60865983999999984</v>
      </c>
      <c r="F34" s="279">
        <f t="shared" si="19"/>
        <v>0</v>
      </c>
      <c r="G34" s="267">
        <f t="shared" si="19"/>
        <v>0.60865983999999984</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1.8824402099999999</v>
      </c>
      <c r="D35" s="280">
        <v>1.8824402099999999</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10.632952832833384</v>
      </c>
      <c r="D36" s="280">
        <v>14.518053228836985</v>
      </c>
      <c r="E36" s="285">
        <f>J36+N36+G36+P36+T36+X36</f>
        <v>0.48505680946084384</v>
      </c>
      <c r="F36" s="285">
        <f t="shared" ref="F36:F37" si="30">E36-G36</f>
        <v>0</v>
      </c>
      <c r="G36" s="266">
        <v>0.48505680946084384</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45.263624295189963</v>
      </c>
      <c r="D37" s="280">
        <v>41.929874949999999</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2.5593526572083416</v>
      </c>
      <c r="D38" s="280">
        <v>2.6481100611630142</v>
      </c>
      <c r="E38" s="285">
        <f>J38+N38+G38+P38+T38+X38</f>
        <v>0.12360303053915603</v>
      </c>
      <c r="F38" s="285">
        <f>E38-G38</f>
        <v>0</v>
      </c>
      <c r="G38" s="266">
        <v>0.12360303053915603</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8</v>
      </c>
      <c r="D46" s="280">
        <v>8</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8</v>
      </c>
      <c r="D54" s="280">
        <v>8</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60.33836999523168</v>
      </c>
      <c r="D56" s="280">
        <v>60.97847844999999</v>
      </c>
      <c r="E56" s="285">
        <f t="shared" ref="E56:E61" si="36">J56+N56+G56+P56+T56+X56</f>
        <v>3.6189962093761205</v>
      </c>
      <c r="F56" s="280">
        <f t="shared" si="33"/>
        <v>0</v>
      </c>
      <c r="G56" s="266">
        <v>3.6189962093761205</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8</v>
      </c>
      <c r="D61" s="280">
        <v>8</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M_00.0010.000010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554</v>
      </c>
      <c r="AY22" s="465" t="s">
        <v>555</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45125.19281</v>
      </c>
      <c r="Q26" s="177" t="s">
        <v>425</v>
      </c>
      <c r="R26" s="179">
        <f>SUM(R27:R86)</f>
        <v>45125.19281</v>
      </c>
      <c r="S26" s="177" t="s">
        <v>425</v>
      </c>
      <c r="T26" s="177" t="s">
        <v>425</v>
      </c>
      <c r="U26" s="177" t="s">
        <v>425</v>
      </c>
      <c r="V26" s="177" t="s">
        <v>425</v>
      </c>
      <c r="W26" s="177" t="s">
        <v>425</v>
      </c>
      <c r="X26" s="177" t="s">
        <v>425</v>
      </c>
      <c r="Y26" s="177" t="s">
        <v>425</v>
      </c>
      <c r="Z26" s="177" t="s">
        <v>425</v>
      </c>
      <c r="AA26" s="177" t="s">
        <v>425</v>
      </c>
      <c r="AB26" s="179">
        <f>SUM(AB27:AB86)</f>
        <v>45125.193209999998</v>
      </c>
      <c r="AC26" s="177" t="s">
        <v>425</v>
      </c>
      <c r="AD26" s="179">
        <f>SUM(AD27:AD86)</f>
        <v>53707.655604</v>
      </c>
      <c r="AE26" s="179">
        <f>SUM(AE27:AE86)</f>
        <v>25053.070381999998</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26504.451520000002</v>
      </c>
      <c r="AY26" s="179">
        <f t="shared" si="46"/>
        <v>31074.95002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22996.380809999999</v>
      </c>
      <c r="Q27" s="214" t="s">
        <v>512</v>
      </c>
      <c r="R27" s="215">
        <v>22996.380809999999</v>
      </c>
      <c r="S27" s="214" t="s">
        <v>513</v>
      </c>
      <c r="T27" s="214" t="s">
        <v>513</v>
      </c>
      <c r="U27" s="214">
        <v>3</v>
      </c>
      <c r="V27" s="214">
        <v>1</v>
      </c>
      <c r="W27" s="214" t="s">
        <v>514</v>
      </c>
      <c r="X27" s="214">
        <v>22996.380809999999</v>
      </c>
      <c r="Y27" s="214" t="s">
        <v>515</v>
      </c>
      <c r="Z27" s="214">
        <v>1</v>
      </c>
      <c r="AA27" s="214">
        <v>22996.380809999999</v>
      </c>
      <c r="AB27" s="215">
        <v>22996.380809999999</v>
      </c>
      <c r="AC27" s="214" t="s">
        <v>514</v>
      </c>
      <c r="AD27" s="215">
        <v>27595.656971999997</v>
      </c>
      <c r="AE27" s="291">
        <f>IF(IFERROR(AD27-AY27,"нд")&lt;0,0,IFERROR(AD27-AY27,"нд"))</f>
        <v>0</v>
      </c>
      <c r="AF27" s="214">
        <v>32312045830</v>
      </c>
      <c r="AG27" s="214" t="s">
        <v>516</v>
      </c>
      <c r="AH27" s="214" t="s">
        <v>517</v>
      </c>
      <c r="AI27" s="216">
        <v>44957</v>
      </c>
      <c r="AJ27" s="216">
        <v>44946</v>
      </c>
      <c r="AK27" s="216">
        <v>44963</v>
      </c>
      <c r="AL27" s="216">
        <v>44977</v>
      </c>
      <c r="AM27" s="214" t="s">
        <v>425</v>
      </c>
      <c r="AN27" s="214" t="s">
        <v>425</v>
      </c>
      <c r="AO27" s="214" t="s">
        <v>425</v>
      </c>
      <c r="AP27" s="214" t="s">
        <v>425</v>
      </c>
      <c r="AQ27" s="216">
        <v>44997</v>
      </c>
      <c r="AR27" s="216">
        <v>44995</v>
      </c>
      <c r="AS27" s="216">
        <v>44997</v>
      </c>
      <c r="AT27" s="216">
        <v>44995</v>
      </c>
      <c r="AU27" s="216">
        <v>45576</v>
      </c>
      <c r="AV27" s="214" t="s">
        <v>425</v>
      </c>
      <c r="AW27" s="214" t="s">
        <v>425</v>
      </c>
      <c r="AX27" s="217">
        <v>25622.011310000002</v>
      </c>
      <c r="AY27" s="217">
        <v>30016.021769999999</v>
      </c>
      <c r="AZ27" s="215" t="s">
        <v>518</v>
      </c>
      <c r="BA27" s="215" t="s">
        <v>519</v>
      </c>
      <c r="BB27" s="215" t="s">
        <v>520</v>
      </c>
      <c r="BC27" s="215" t="s">
        <v>521</v>
      </c>
      <c r="BD27" s="215" t="str">
        <f>CONCATENATE(BB27,", ",BA27,", ",N27,", ","договор № ",BC27)</f>
        <v>АО "РЭМиС", СМР, Выполнение строительно-монтажных и пусконаладочных работ по проекту "Замена выключателя ВВБ 220 кВ (В-292) ПС 220 Урожай АО "Электромагистраль", договор № ИП-23-00048 от 10.03.2023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511</v>
      </c>
      <c r="P28" s="215">
        <v>22128.812000000002</v>
      </c>
      <c r="Q28" s="214" t="s">
        <v>512</v>
      </c>
      <c r="R28" s="215">
        <v>22128.812000000002</v>
      </c>
      <c r="S28" s="214" t="s">
        <v>524</v>
      </c>
      <c r="T28" s="214" t="s">
        <v>525</v>
      </c>
      <c r="U28" s="214" t="s">
        <v>425</v>
      </c>
      <c r="V28" s="214" t="s">
        <v>425</v>
      </c>
      <c r="W28" s="214" t="s">
        <v>425</v>
      </c>
      <c r="X28" s="214" t="s">
        <v>425</v>
      </c>
      <c r="Y28" s="214" t="s">
        <v>425</v>
      </c>
      <c r="Z28" s="214" t="s">
        <v>425</v>
      </c>
      <c r="AA28" s="214" t="s">
        <v>425</v>
      </c>
      <c r="AB28" s="215">
        <v>22128.812399999999</v>
      </c>
      <c r="AC28" s="214" t="s">
        <v>520</v>
      </c>
      <c r="AD28" s="215">
        <v>26111.998631999999</v>
      </c>
      <c r="AE28" s="291">
        <f t="shared" ref="AE28:AE86" si="49">IF(IFERROR(AD28-AY28,"нд")&lt;0,0,IFERROR(AD28-AY28,"нд"))</f>
        <v>25053.070381999998</v>
      </c>
      <c r="AF28" s="214" t="s">
        <v>425</v>
      </c>
      <c r="AG28" s="214" t="s">
        <v>526</v>
      </c>
      <c r="AH28" s="214" t="s">
        <v>425</v>
      </c>
      <c r="AI28" s="216" t="s">
        <v>425</v>
      </c>
      <c r="AJ28" s="216" t="s">
        <v>425</v>
      </c>
      <c r="AK28" s="216" t="s">
        <v>425</v>
      </c>
      <c r="AL28" s="216" t="s">
        <v>425</v>
      </c>
      <c r="AM28" s="214" t="s">
        <v>527</v>
      </c>
      <c r="AN28" s="214" t="s">
        <v>528</v>
      </c>
      <c r="AO28" s="214">
        <v>43110</v>
      </c>
      <c r="AP28" s="214" t="s">
        <v>529</v>
      </c>
      <c r="AQ28" s="216" t="s">
        <v>425</v>
      </c>
      <c r="AR28" s="216">
        <v>43248</v>
      </c>
      <c r="AS28" s="216">
        <v>43248</v>
      </c>
      <c r="AT28" s="216">
        <v>43248</v>
      </c>
      <c r="AU28" s="216">
        <v>44068</v>
      </c>
      <c r="AV28" s="214" t="s">
        <v>425</v>
      </c>
      <c r="AW28" s="214" t="s">
        <v>425</v>
      </c>
      <c r="AX28" s="215">
        <v>882.44020999999998</v>
      </c>
      <c r="AY28" s="215">
        <v>1058.9282499999999</v>
      </c>
      <c r="AZ28" s="215" t="s">
        <v>518</v>
      </c>
      <c r="BA28" s="215" t="s">
        <v>519</v>
      </c>
      <c r="BB28" s="215" t="s">
        <v>520</v>
      </c>
      <c r="BC28" s="215" t="s">
        <v>530</v>
      </c>
      <c r="BD28" s="215" t="str">
        <f t="shared" ref="BD28:BD86" si="50">CONCATENATE(BB28,", ",BA28,", ",N28,", ","договор № ",BC28)</f>
        <v>АО "РЭМиС", СМР, Проектно-изыскательские, строительно-монтажные и пусконаладочные работы по замене выключателя 220 кВ В-292 на ПС 220 кВ Урожай (1ПК), договор № И-1-18  от 28.05.2018</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425</v>
      </c>
      <c r="N29" s="214" t="s">
        <v>425</v>
      </c>
      <c r="O29" s="214" t="s">
        <v>425</v>
      </c>
      <c r="P29" s="215" t="s">
        <v>425</v>
      </c>
      <c r="Q29" s="214" t="s">
        <v>425</v>
      </c>
      <c r="R29" s="215" t="s">
        <v>425</v>
      </c>
      <c r="S29" s="214" t="s">
        <v>425</v>
      </c>
      <c r="T29" s="214" t="s">
        <v>425</v>
      </c>
      <c r="U29" s="214" t="s">
        <v>425</v>
      </c>
      <c r="V29" s="214" t="s">
        <v>425</v>
      </c>
      <c r="W29" s="214" t="s">
        <v>425</v>
      </c>
      <c r="X29" s="214" t="s">
        <v>425</v>
      </c>
      <c r="Y29" s="214" t="s">
        <v>425</v>
      </c>
      <c r="Z29" s="214" t="s">
        <v>425</v>
      </c>
      <c r="AA29" s="214" t="s">
        <v>425</v>
      </c>
      <c r="AB29" s="215" t="s">
        <v>425</v>
      </c>
      <c r="AC29" s="214" t="s">
        <v>425</v>
      </c>
      <c r="AD29" s="215" t="s">
        <v>425</v>
      </c>
      <c r="AE29" s="291" t="str">
        <f t="shared" si="49"/>
        <v>нд</v>
      </c>
      <c r="AF29" s="214" t="s">
        <v>425</v>
      </c>
      <c r="AG29" s="214" t="s">
        <v>425</v>
      </c>
      <c r="AH29" s="214" t="s">
        <v>425</v>
      </c>
      <c r="AI29" s="216" t="s">
        <v>425</v>
      </c>
      <c r="AJ29" s="216" t="s">
        <v>425</v>
      </c>
      <c r="AK29" s="216" t="s">
        <v>425</v>
      </c>
      <c r="AL29" s="216" t="s">
        <v>425</v>
      </c>
      <c r="AM29" s="214" t="s">
        <v>425</v>
      </c>
      <c r="AN29" s="214" t="s">
        <v>425</v>
      </c>
      <c r="AO29" s="214" t="s">
        <v>425</v>
      </c>
      <c r="AP29" s="214" t="s">
        <v>425</v>
      </c>
      <c r="AQ29" s="216" t="s">
        <v>425</v>
      </c>
      <c r="AR29" s="216" t="s">
        <v>425</v>
      </c>
      <c r="AS29" s="216" t="s">
        <v>425</v>
      </c>
      <c r="AT29" s="216" t="s">
        <v>425</v>
      </c>
      <c r="AU29" s="216" t="s">
        <v>425</v>
      </c>
      <c r="AV29" s="214" t="s">
        <v>425</v>
      </c>
      <c r="AW29" s="214" t="s">
        <v>425</v>
      </c>
      <c r="AX29" s="215">
        <v>0</v>
      </c>
      <c r="AY29" s="215">
        <v>0</v>
      </c>
      <c r="AZ29" s="215" t="s">
        <v>425</v>
      </c>
      <c r="BA29" s="215" t="s">
        <v>425</v>
      </c>
      <c r="BB29" s="215" t="s">
        <v>425</v>
      </c>
      <c r="BC29" s="215" t="s">
        <v>425</v>
      </c>
      <c r="BD29" s="215" t="str">
        <f t="shared" si="50"/>
        <v>нд, нд, нд, договор № нд</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425</v>
      </c>
      <c r="N30" s="214" t="s">
        <v>425</v>
      </c>
      <c r="O30" s="214" t="s">
        <v>425</v>
      </c>
      <c r="P30" s="215" t="s">
        <v>425</v>
      </c>
      <c r="Q30" s="214" t="s">
        <v>425</v>
      </c>
      <c r="R30" s="215" t="s">
        <v>425</v>
      </c>
      <c r="S30" s="214" t="s">
        <v>425</v>
      </c>
      <c r="T30" s="214" t="s">
        <v>425</v>
      </c>
      <c r="U30" s="214" t="s">
        <v>425</v>
      </c>
      <c r="V30" s="214" t="s">
        <v>425</v>
      </c>
      <c r="W30" s="214" t="s">
        <v>425</v>
      </c>
      <c r="X30" s="214" t="s">
        <v>425</v>
      </c>
      <c r="Y30" s="214" t="s">
        <v>425</v>
      </c>
      <c r="Z30" s="214" t="s">
        <v>425</v>
      </c>
      <c r="AA30" s="214" t="s">
        <v>425</v>
      </c>
      <c r="AB30" s="215" t="s">
        <v>425</v>
      </c>
      <c r="AC30" s="214" t="s">
        <v>425</v>
      </c>
      <c r="AD30" s="215" t="s">
        <v>425</v>
      </c>
      <c r="AE30" s="291" t="str">
        <f t="shared" si="49"/>
        <v>нд</v>
      </c>
      <c r="AF30" s="214" t="s">
        <v>425</v>
      </c>
      <c r="AG30" s="214" t="s">
        <v>425</v>
      </c>
      <c r="AH30" s="214" t="s">
        <v>425</v>
      </c>
      <c r="AI30" s="216" t="s">
        <v>425</v>
      </c>
      <c r="AJ30" s="216" t="s">
        <v>425</v>
      </c>
      <c r="AK30" s="216" t="s">
        <v>425</v>
      </c>
      <c r="AL30" s="216" t="s">
        <v>425</v>
      </c>
      <c r="AM30" s="214" t="s">
        <v>425</v>
      </c>
      <c r="AN30" s="214" t="s">
        <v>425</v>
      </c>
      <c r="AO30" s="214" t="s">
        <v>425</v>
      </c>
      <c r="AP30" s="214" t="s">
        <v>425</v>
      </c>
      <c r="AQ30" s="216" t="s">
        <v>425</v>
      </c>
      <c r="AR30" s="216" t="s">
        <v>425</v>
      </c>
      <c r="AS30" s="216" t="s">
        <v>425</v>
      </c>
      <c r="AT30" s="216" t="s">
        <v>425</v>
      </c>
      <c r="AU30" s="216" t="s">
        <v>425</v>
      </c>
      <c r="AV30" s="214" t="s">
        <v>425</v>
      </c>
      <c r="AW30" s="214" t="s">
        <v>425</v>
      </c>
      <c r="AX30" s="215">
        <v>0</v>
      </c>
      <c r="AY30" s="215">
        <v>0</v>
      </c>
      <c r="AZ30" s="215" t="s">
        <v>425</v>
      </c>
      <c r="BA30" s="215" t="s">
        <v>425</v>
      </c>
      <c r="BB30" s="215" t="s">
        <v>425</v>
      </c>
      <c r="BC30" s="215" t="s">
        <v>425</v>
      </c>
      <c r="BD30" s="215" t="str">
        <f t="shared" si="50"/>
        <v>нд, нд, нд, договор № нд</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M_00.0010.000010</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542</v>
      </c>
    </row>
    <row r="22" spans="1:2" x14ac:dyDescent="0.25">
      <c r="A22" s="157" t="s">
        <v>306</v>
      </c>
      <c r="B22" s="157" t="s">
        <v>547</v>
      </c>
    </row>
    <row r="23" spans="1:2" x14ac:dyDescent="0.25">
      <c r="A23" s="157" t="s">
        <v>288</v>
      </c>
      <c r="B23" s="157" t="s">
        <v>533</v>
      </c>
    </row>
    <row r="24" spans="1:2" x14ac:dyDescent="0.25">
      <c r="A24" s="157" t="s">
        <v>307</v>
      </c>
      <c r="B24" s="157" t="s">
        <v>425</v>
      </c>
    </row>
    <row r="25" spans="1:2" x14ac:dyDescent="0.25">
      <c r="A25" s="158" t="s">
        <v>308</v>
      </c>
      <c r="B25" s="175">
        <v>45473</v>
      </c>
    </row>
    <row r="26" spans="1:2" x14ac:dyDescent="0.25">
      <c r="A26" s="158" t="s">
        <v>309</v>
      </c>
      <c r="B26" s="160" t="s">
        <v>546</v>
      </c>
    </row>
    <row r="27" spans="1:2" x14ac:dyDescent="0.25">
      <c r="A27" s="160" t="str">
        <f>CONCATENATE("Стоимость проекта в прогнозных ценах, млн. руб. с НДС")</f>
        <v>Стоимость проекта в прогнозных ценах, млн. руб. с НДС</v>
      </c>
      <c r="B27" s="171">
        <v>72.635889000216764</v>
      </c>
    </row>
    <row r="28" spans="1:2" ht="93.75" customHeight="1" x14ac:dyDescent="0.25">
      <c r="A28" s="159" t="s">
        <v>310</v>
      </c>
      <c r="B28" s="162" t="s">
        <v>534</v>
      </c>
    </row>
    <row r="29" spans="1:2" ht="28.5" x14ac:dyDescent="0.25">
      <c r="A29" s="160" t="s">
        <v>311</v>
      </c>
      <c r="B29" s="171">
        <f>'7. Паспорт отчет о закупке'!$AB$26*1.2/1000</f>
        <v>54.150231851999997</v>
      </c>
    </row>
    <row r="30" spans="1:2" ht="28.5" x14ac:dyDescent="0.25">
      <c r="A30" s="160" t="s">
        <v>312</v>
      </c>
      <c r="B30" s="171">
        <f>'7. Паспорт отчет о закупке'!$AD$26/1000</f>
        <v>53.707655604000003</v>
      </c>
    </row>
    <row r="31" spans="1:2" x14ac:dyDescent="0.25">
      <c r="A31" s="159" t="s">
        <v>313</v>
      </c>
      <c r="B31" s="161"/>
    </row>
    <row r="32" spans="1:2" ht="28.5" x14ac:dyDescent="0.25">
      <c r="A32" s="160" t="s">
        <v>314</v>
      </c>
      <c r="B32" s="171">
        <f>SUM(SUMIF(B33,"&gt;0",B33),SUMIF(B37,"&gt;0",B37),SUMIF(B41,"&gt;0",B41),SUMIF(B45,"&gt;0",B45),SUMIF(B49,"&gt;0",B49),SUMIF(B53,"&gt;0",B53))</f>
        <v>53.707655603999996</v>
      </c>
    </row>
    <row r="33" spans="1:2" ht="30" x14ac:dyDescent="0.25">
      <c r="A33" s="168" t="s">
        <v>433</v>
      </c>
      <c r="B33" s="161">
        <f>IFERROR(IF(VLOOKUP(1,'7. Паспорт отчет о закупке'!$A$27:$CD$86,52,0)="ИП",VLOOKUP(1,'7. Паспорт отчет о закупке'!$A$27:$CD$86,30,0)/1000,"нд"),"нд")</f>
        <v>27.595656971999997</v>
      </c>
    </row>
    <row r="34" spans="1:2" x14ac:dyDescent="0.25">
      <c r="A34" s="168" t="s">
        <v>315</v>
      </c>
      <c r="B34" s="161">
        <f>IF(B33="нд","нд",$B33/$B$27*100)</f>
        <v>37.991765987634082</v>
      </c>
    </row>
    <row r="35" spans="1:2" x14ac:dyDescent="0.25">
      <c r="A35" s="168" t="s">
        <v>316</v>
      </c>
      <c r="B35" s="161">
        <f>IF(VLOOKUP(1,'7. Паспорт отчет о закупке'!$A$27:$CD$86,52,0)="ИП",VLOOKUP(1,'7. Паспорт отчет о закупке'!$A$27:$CD$86,51,0)/1000,"нд")</f>
        <v>30.016021769999998</v>
      </c>
    </row>
    <row r="36" spans="1:2" x14ac:dyDescent="0.25">
      <c r="A36" s="168" t="s">
        <v>437</v>
      </c>
      <c r="B36" s="161">
        <f>IF(VLOOKUP(1,'7. Паспорт отчет о закупке'!$A$27:$CD$86,52,0)="ИП",VLOOKUP(1,'7. Паспорт отчет о закупке'!$A$27:$CD$86,50,0)/1000,"нд")</f>
        <v>25.622011310000001</v>
      </c>
    </row>
    <row r="37" spans="1:2" ht="30" x14ac:dyDescent="0.25">
      <c r="A37" s="168" t="s">
        <v>433</v>
      </c>
      <c r="B37" s="161">
        <f>IF(VLOOKUP(2,'7. Паспорт отчет о закупке'!$A$27:$CD$86,52,0)="ИП",VLOOKUP(2,'7. Паспорт отчет о закупке'!$A$27:$CD$86,30,0)/1000,"нд")</f>
        <v>26.111998631999999</v>
      </c>
    </row>
    <row r="38" spans="1:2" x14ac:dyDescent="0.25">
      <c r="A38" s="168" t="s">
        <v>315</v>
      </c>
      <c r="B38" s="161">
        <f>IF(B37="нд","нд",$B37/$B$27*100)</f>
        <v>35.949169193650363</v>
      </c>
    </row>
    <row r="39" spans="1:2" x14ac:dyDescent="0.25">
      <c r="A39" s="168" t="s">
        <v>316</v>
      </c>
      <c r="B39" s="161">
        <f>IF(VLOOKUP(2,'7. Паспорт отчет о закупке'!$A$27:$CD$86,52,0)="ИП",VLOOKUP(2,'7. Паспорт отчет о закупке'!$A$27:$CD$86,51,0)/1000,"нд")</f>
        <v>1.0589282499999999</v>
      </c>
    </row>
    <row r="40" spans="1:2" x14ac:dyDescent="0.25">
      <c r="A40" s="168" t="s">
        <v>437</v>
      </c>
      <c r="B40" s="161">
        <f>IF(VLOOKUP(2,'7. Паспорт отчет о закупке'!$A$27:$CD$86,52,0)="ИП",VLOOKUP(2,'7. Паспорт отчет о закупке'!$A$27:$CD$86,50,0)/1000,"нд")</f>
        <v>0.88244020999999995</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73.940935181284445</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28.744973369758974</v>
      </c>
      <c r="C88" s="194"/>
      <c r="D88" s="194"/>
      <c r="E88" s="194"/>
      <c r="F88" s="194"/>
      <c r="G88" s="194"/>
    </row>
    <row r="89" spans="1:7" x14ac:dyDescent="0.25">
      <c r="A89" s="158" t="s">
        <v>323</v>
      </c>
      <c r="B89" s="171">
        <f>'6.2. Паспорт фин осв ввод'!D24-'6.2. Паспорт фин осв ввод'!E24</f>
        <v>71.905497192216771</v>
      </c>
    </row>
    <row r="90" spans="1:7" x14ac:dyDescent="0.25">
      <c r="A90" s="158" t="s">
        <v>436</v>
      </c>
      <c r="B90" s="171">
        <f>IFERROR(SUM(B91*1.2/$B$27*100),0)</f>
        <v>99.73552100640471</v>
      </c>
    </row>
    <row r="91" spans="1:7" x14ac:dyDescent="0.25">
      <c r="A91" s="158" t="s">
        <v>441</v>
      </c>
      <c r="B91" s="171">
        <f>'6.2. Паспорт фин осв ввод'!D34-'6.2. Паспорт фин осв ввод'!E34</f>
        <v>60.369818610000003</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"Замена выключателя ВВБ 220 кВ (В-292) ПС 220 Урожай АО "Электромагистраль", договор № ИП-23-00048 от 10.03.2023
АО "РЭМиС", СМР, Проектно-изыскательские, строительно-монтажные и пусконаладочные работы по замене выключателя 220 кВ В-292 на ПС 220 кВ Урожай (1ПК), договор № И-1-18  от 28.05.2018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M_00.0010.000010</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M_00.0010.000010</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542</v>
      </c>
      <c r="C25" s="151" t="s">
        <v>542</v>
      </c>
      <c r="D25" s="151" t="s">
        <v>382</v>
      </c>
      <c r="E25" s="151" t="s">
        <v>548</v>
      </c>
      <c r="F25" s="151" t="s">
        <v>549</v>
      </c>
      <c r="G25" s="151" t="s">
        <v>550</v>
      </c>
      <c r="H25" s="151" t="s">
        <v>550</v>
      </c>
      <c r="I25" s="151">
        <v>1983</v>
      </c>
      <c r="J25" s="151">
        <v>2018</v>
      </c>
      <c r="K25" s="151">
        <v>1983</v>
      </c>
      <c r="L25" s="151">
        <v>220</v>
      </c>
      <c r="M25" s="151">
        <v>220</v>
      </c>
      <c r="N25" s="151" t="s">
        <v>425</v>
      </c>
      <c r="O25" s="151" t="s">
        <v>425</v>
      </c>
      <c r="P25" s="244">
        <v>2008</v>
      </c>
      <c r="Q25" s="151" t="s">
        <v>551</v>
      </c>
      <c r="R25" s="151" t="s">
        <v>552</v>
      </c>
      <c r="S25" s="151" t="s">
        <v>425</v>
      </c>
      <c r="T25" s="151" t="s">
        <v>425</v>
      </c>
    </row>
    <row r="26" spans="1:20" s="152" customFormat="1" ht="112.5" customHeight="1" x14ac:dyDescent="0.25">
      <c r="A26" s="151">
        <v>2</v>
      </c>
      <c r="B26" s="151" t="s">
        <v>425</v>
      </c>
      <c r="C26" s="151" t="s">
        <v>425</v>
      </c>
      <c r="D26" s="151" t="s">
        <v>425</v>
      </c>
      <c r="E26" s="151" t="s">
        <v>425</v>
      </c>
      <c r="F26" s="151" t="s">
        <v>425</v>
      </c>
      <c r="G26" s="151" t="s">
        <v>425</v>
      </c>
      <c r="H26" s="151" t="s">
        <v>425</v>
      </c>
      <c r="I26" s="151" t="s">
        <v>425</v>
      </c>
      <c r="J26" s="151" t="s">
        <v>425</v>
      </c>
      <c r="K26" s="151" t="s">
        <v>425</v>
      </c>
      <c r="L26" s="151" t="s">
        <v>425</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M_00.0010.000010</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540</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541</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542</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543</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544</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545</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43101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546</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M_00.0010.000010</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M_00.0010.000010</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M_00.0010.000010</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R25" sqref="R25"/>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M_00.0010.000010</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43101</v>
      </c>
      <c r="D25" s="255">
        <v>44867</v>
      </c>
      <c r="E25" s="255">
        <v>43101</v>
      </c>
      <c r="F25" s="255">
        <v>45180</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43101</v>
      </c>
      <c r="D31" s="255">
        <v>43248</v>
      </c>
      <c r="E31" s="255">
        <v>43101</v>
      </c>
      <c r="F31" s="255">
        <v>43248</v>
      </c>
      <c r="G31" s="260">
        <v>1</v>
      </c>
      <c r="H31" s="260">
        <v>1</v>
      </c>
      <c r="I31" s="257" t="s">
        <v>425</v>
      </c>
      <c r="J31" s="257" t="s">
        <v>425</v>
      </c>
    </row>
    <row r="32" spans="1:12" x14ac:dyDescent="0.25">
      <c r="A32" s="257" t="s">
        <v>466</v>
      </c>
      <c r="B32" s="258" t="s">
        <v>467</v>
      </c>
      <c r="C32" s="255">
        <v>43308</v>
      </c>
      <c r="D32" s="255">
        <v>44068</v>
      </c>
      <c r="E32" s="255">
        <v>43308</v>
      </c>
      <c r="F32" s="255">
        <v>44068</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44867</v>
      </c>
      <c r="E35" s="255">
        <v>44867</v>
      </c>
      <c r="F35" s="255">
        <v>45180</v>
      </c>
      <c r="G35" s="260">
        <v>1</v>
      </c>
      <c r="H35" s="260">
        <v>1</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43308</v>
      </c>
      <c r="D37" s="255">
        <v>44068</v>
      </c>
      <c r="E37" s="255">
        <v>43308</v>
      </c>
      <c r="F37" s="255">
        <v>44068</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43101</v>
      </c>
      <c r="D39" s="255">
        <v>44997</v>
      </c>
      <c r="E39" s="255">
        <v>43101</v>
      </c>
      <c r="F39" s="255">
        <v>44997</v>
      </c>
      <c r="G39" s="263">
        <v>1</v>
      </c>
      <c r="H39" s="263">
        <v>1</v>
      </c>
      <c r="I39" s="257" t="s">
        <v>425</v>
      </c>
      <c r="J39" s="257" t="s">
        <v>425</v>
      </c>
    </row>
    <row r="40" spans="1:10" x14ac:dyDescent="0.25">
      <c r="A40" s="262" t="s">
        <v>480</v>
      </c>
      <c r="B40" s="258" t="s">
        <v>481</v>
      </c>
      <c r="C40" s="255">
        <v>43248</v>
      </c>
      <c r="D40" s="255">
        <v>44999</v>
      </c>
      <c r="E40" s="255">
        <v>43248</v>
      </c>
      <c r="F40" s="255">
        <v>44999</v>
      </c>
      <c r="G40" s="263">
        <v>1</v>
      </c>
      <c r="H40" s="263">
        <v>1</v>
      </c>
      <c r="I40" s="257" t="s">
        <v>425</v>
      </c>
      <c r="J40" s="257" t="s">
        <v>425</v>
      </c>
    </row>
    <row r="41" spans="1:10" x14ac:dyDescent="0.25">
      <c r="A41" s="252">
        <v>3</v>
      </c>
      <c r="B41" s="254" t="s">
        <v>482</v>
      </c>
      <c r="C41" s="255">
        <v>43248</v>
      </c>
      <c r="D41" s="255">
        <v>45209</v>
      </c>
      <c r="E41" s="255">
        <v>43248</v>
      </c>
      <c r="F41" s="255">
        <v>45468</v>
      </c>
      <c r="G41" s="261">
        <v>1</v>
      </c>
      <c r="H41" s="261">
        <v>1</v>
      </c>
      <c r="I41" s="252" t="s">
        <v>425</v>
      </c>
      <c r="J41" s="252" t="s">
        <v>425</v>
      </c>
    </row>
    <row r="42" spans="1:10" x14ac:dyDescent="0.25">
      <c r="A42" s="257" t="s">
        <v>483</v>
      </c>
      <c r="B42" s="258" t="s">
        <v>484</v>
      </c>
      <c r="C42" s="255">
        <v>43248</v>
      </c>
      <c r="D42" s="255">
        <v>45059</v>
      </c>
      <c r="E42" s="255">
        <v>43248</v>
      </c>
      <c r="F42" s="255">
        <v>45381</v>
      </c>
      <c r="G42" s="263">
        <v>1</v>
      </c>
      <c r="H42" s="263">
        <v>1</v>
      </c>
      <c r="I42" s="257" t="s">
        <v>425</v>
      </c>
      <c r="J42" s="257" t="s">
        <v>425</v>
      </c>
    </row>
    <row r="43" spans="1:10" x14ac:dyDescent="0.25">
      <c r="A43" s="257" t="s">
        <v>485</v>
      </c>
      <c r="B43" s="258" t="s">
        <v>486</v>
      </c>
      <c r="C43" s="255">
        <v>43278</v>
      </c>
      <c r="D43" s="255">
        <v>45089</v>
      </c>
      <c r="E43" s="255">
        <v>43278</v>
      </c>
      <c r="F43" s="255">
        <v>45442</v>
      </c>
      <c r="G43" s="263">
        <v>1</v>
      </c>
      <c r="H43" s="263">
        <v>1</v>
      </c>
      <c r="I43" s="257" t="s">
        <v>425</v>
      </c>
      <c r="J43" s="257" t="s">
        <v>425</v>
      </c>
    </row>
    <row r="44" spans="1:10" x14ac:dyDescent="0.25">
      <c r="A44" s="257" t="s">
        <v>487</v>
      </c>
      <c r="B44" s="258" t="s">
        <v>488</v>
      </c>
      <c r="C44" s="255">
        <v>43368</v>
      </c>
      <c r="D44" s="255">
        <v>45149</v>
      </c>
      <c r="E44" s="255">
        <v>43368</v>
      </c>
      <c r="F44" s="255">
        <v>45442</v>
      </c>
      <c r="G44" s="263">
        <v>1</v>
      </c>
      <c r="H44" s="263">
        <v>1</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43428</v>
      </c>
      <c r="D47" s="255">
        <v>45209</v>
      </c>
      <c r="E47" s="255">
        <v>43428</v>
      </c>
      <c r="F47" s="255">
        <v>45468</v>
      </c>
      <c r="G47" s="263">
        <v>1</v>
      </c>
      <c r="H47" s="263">
        <v>1</v>
      </c>
      <c r="I47" s="257" t="s">
        <v>425</v>
      </c>
      <c r="J47" s="257" t="s">
        <v>425</v>
      </c>
    </row>
    <row r="48" spans="1:10" x14ac:dyDescent="0.25">
      <c r="A48" s="252">
        <v>4</v>
      </c>
      <c r="B48" s="254" t="s">
        <v>495</v>
      </c>
      <c r="C48" s="255">
        <v>43459</v>
      </c>
      <c r="D48" s="255">
        <v>45290</v>
      </c>
      <c r="E48" s="255">
        <v>43459</v>
      </c>
      <c r="F48" s="255">
        <v>45473</v>
      </c>
      <c r="G48" s="261">
        <v>1</v>
      </c>
      <c r="H48" s="261">
        <v>1</v>
      </c>
      <c r="I48" s="252" t="s">
        <v>425</v>
      </c>
      <c r="J48" s="252" t="s">
        <v>425</v>
      </c>
    </row>
    <row r="49" spans="1:10" x14ac:dyDescent="0.25">
      <c r="A49" s="257" t="s">
        <v>496</v>
      </c>
      <c r="B49" s="258" t="s">
        <v>497</v>
      </c>
      <c r="C49" s="255">
        <v>43459</v>
      </c>
      <c r="D49" s="255">
        <v>45276</v>
      </c>
      <c r="E49" s="255">
        <v>43459</v>
      </c>
      <c r="F49" s="255">
        <v>45472</v>
      </c>
      <c r="G49" s="263">
        <v>1</v>
      </c>
      <c r="H49" s="263">
        <v>1</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43462</v>
      </c>
      <c r="D53" s="255">
        <v>45290</v>
      </c>
      <c r="E53" s="255">
        <v>43462</v>
      </c>
      <c r="F53" s="255">
        <v>45473</v>
      </c>
      <c r="G53" s="263">
        <v>1</v>
      </c>
      <c r="H53" s="263">
        <v>1</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2024-11-14T09:36:02Z</dcterms:modified>
</cp:coreProperties>
</file>