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F48DA4FC-9B87-44D5-8D44-FF3966630594}"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39" i="5"/>
  <c r="AE27"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<sst xmlns="http://schemas.openxmlformats.org/spreadsheetml/2006/main" count="4518" uniqueCount="549">
  <si>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</si>
  <si>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</si>
  <si>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</si>
  <si>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</si>
  <si>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</si>
  <si>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</si>
  <si>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</si>
  <si>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</si>
  <si>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</si>
  <si>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</si>
  <si>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</si>
  <si>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</si>
  <si>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</si>
  <si>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</si>
  <si>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</si>
  <si>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</si>
  <si>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</si>
  <si>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</si>
  <si>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</si>
  <si>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</si>
  <si>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</si>
  <si>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</si>
  <si>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</si>
  <si>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</si>
  <si>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</si>
  <si>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</si>
  <si>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</si>
  <si>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</si>
  <si>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</si>
  <si>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</si>
  <si>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</si>
  <si>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</si>
  <si>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</si>
  <si>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</si>
  <si>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</si>
  <si>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</si>
  <si>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</si>
  <si>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</si>
  <si>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</si>
  <si>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</si>
  <si>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</si>
  <si>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</si>
  <si>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</si>
  <si>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</si>
  <si>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</si>
  <si>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</si>
  <si>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</si>
  <si>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</si>
  <si>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</si>
  <si>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</si>
  <si>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</si>
  <si>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</si>
  <si>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</si>
  <si>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</si>
  <si>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</si>
  <si>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</si>
  <si>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</si>
  <si>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</si>
  <si>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</si>
  <si>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</si>
  <si>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</si>
  <si>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</si>
  <si>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</si>
  <si>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</si>
  <si>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</si>
  <si>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</si>
  <si>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</si>
  <si>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</si>
  <si>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</si>
  <si>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</si>
  <si>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</si>
  <si>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</si>
  <si>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</si>
  <si>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</si>
  <si>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</si>
  <si>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</si>
  <si>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</si>
  <si>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</si>
  <si>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</si>
  <si>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</si>
  <si>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</si>
  <si>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</si>
  <si>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</si>
  <si>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</si>
  <si>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</si>
  <si>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</si>
  <si>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</si>
  <si>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</si>
  <si>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</si>
  <si>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</si>
  <si>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</si>
  <si>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</si>
  <si>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</si>
  <si>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</si>
  <si>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</si>
  <si>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</si>
  <si>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</si>
  <si>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</si>
  <si>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</si>
  <si>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</si>
  <si>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</si>
  <si>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</si>
  <si>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</si>
  <si>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</si>
  <si>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</si>
  <si>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</si>
  <si>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</si>
  <si>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</si>
  <si>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</si>
  <si>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</si>
  <si>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</si>
  <si>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</si>
  <si>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</si>
  <si>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</si>
  <si>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</si>
  <si>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</si>
  <si>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</si>
  <si>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</si>
  <si>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</si>
  <si>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</si>
  <si>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</si>
  <si>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</si>
  <si>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</si>
  <si>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</si>
  <si>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</si>
  <si>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</si>
  <si>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</si>
  <si>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</si>
  <si>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</si>
  <si>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</si>
  <si>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</si>
  <si>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</si>
  <si>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</si>
  <si>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</si>
  <si>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</si>
  <si>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</si>
  <si>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</si>
  <si>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</si>
  <si>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</si>
  <si>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</si>
  <si>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</si>
  <si>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</si>
  <si>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</si>
  <si>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</si>
  <si>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</si>
  <si>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</si>
  <si>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</si>
  <si>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</si>
  <si>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</si>
  <si>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</si>
  <si>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</si>
  <si>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</si>
  <si>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</si>
  <si>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</si>
  <si>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</si>
  <si>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</si>
  <si>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</si>
  <si>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</si>
  <si>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</si>
  <si>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</si>
  <si>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</si>
  <si>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</si>
  <si>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</si>
  <si>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</si>
  <si>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</si>
  <si>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</si>
  <si>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</si>
  <si>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</si>
  <si>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</si>
  <si>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</si>
  <si>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</si>
  <si>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</si>
  <si>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</si>
  <si>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</si>
  <si>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</si>
  <si>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</si>
  <si>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</si>
  <si>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</si>
  <si>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</si>
  <si>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</si>
  <si>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</si>
  <si>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</si>
  <si>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</si>
  <si>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</si>
  <si>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</si>
  <si>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</si>
  <si>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</si>
  <si>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</si>
  <si>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</si>
  <si>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</si>
  <si>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</si>
  <si>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</si>
  <si>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</si>
  <si>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</si>
  <si>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</si>
  <si>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</si>
  <si>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</si>
  <si>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</si>
  <si>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</si>
  <si>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</si>
  <si>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</si>
  <si>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</si>
  <si>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</si>
  <si>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</si>
  <si>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</si>
  <si>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</si>
  <si>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</si>
  <si>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</si>
  <si>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</si>
  <si>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</si>
  <si>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</si>
  <si>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</si>
  <si>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</si>
  <si>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</si>
  <si>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</si>
  <si>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</si>
  <si>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</si>
  <si>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</si>
  <si>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</si>
  <si>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</si>
  <si>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</si>
  <si>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</si>
  <si>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</si>
  <si>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</si>
  <si>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</si>
  <si>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</si>
  <si>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</si>
  <si>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</si>
  <si>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</si>
  <si>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</si>
  <si>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</si>
  <si>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</si>
  <si>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</si>
  <si>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</si>
  <si>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</si>
  <si>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</si>
  <si>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</si>
  <si>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</si>
  <si>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</si>
  <si>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</si>
  <si>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</si>
  <si>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</si>
  <si>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</si>
  <si>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</si>
  <si>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</si>
  <si>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</si>
  <si>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</si>
  <si>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</si>
  <si>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</si>
  <si>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</si>
  <si>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</si>
  <si>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</si>
  <si>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</si>
  <si>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</si>
  <si>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</si>
  <si>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</si>
  <si>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</si>
  <si>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</si>
  <si>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</si>
  <si>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</si>
  <si>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</si>
  <si>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</si>
  <si>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</si>
  <si>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</si>
  <si>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</si>
  <si>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</si>
  <si>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</si>
  <si>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</si>
  <si>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</si>
  <si>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</si>
  <si>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</si>
  <si>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</si>
  <si>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</si>
  <si>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</si>
  <si>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</si>
  <si>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</si>
  <si>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</si>
  <si>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</si>
  <si>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</si>
  <si>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</si>
  <si>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</si>
  <si>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</si>
  <si>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</si>
  <si>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</si>
  <si>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</si>
  <si>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</si>
  <si>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</si>
  <si>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</si>
  <si>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</si>
  <si>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</si>
  <si>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</si>
  <si>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</si>
  <si>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</si>
  <si>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</si>
  <si>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</si>
  <si>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</si>
  <si>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</si>
  <si>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</si>
  <si>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</si>
  <si>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</si>
  <si>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</si>
  <si>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</si>
  <si>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</si>
  <si>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</si>
  <si>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</si>
  <si>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</si>
  <si>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</si>
  <si>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</si>
  <si>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</si>
  <si>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</si>
  <si>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</si>
  <si>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</si>
  <si>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</si>
  <si>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</si>
  <si>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</si>
  <si>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</si>
  <si>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</si>
  <si>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</si>
  <si>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</si>
  <si>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</si>
  <si>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</si>
  <si>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</si>
  <si>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</si>
  <si>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</si>
  <si>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</si>
  <si>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</si>
  <si>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</si>
  <si>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</si>
  <si>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</si>
  <si>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</si>
  <si>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</si>
  <si>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</si>
  <si>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</si>
  <si>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</si>
  <si>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</si>
  <si>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</si>
  <si>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</si>
  <si>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</si>
  <si>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</si>
  <si>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</si>
  <si>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</si>
  <si>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</si>
  <si>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</si>
  <si>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</si>
  <si>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</si>
  <si>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</si>
  <si>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</si>
  <si>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</si>
  <si>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</si>
  <si>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</si>
  <si>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</si>
  <si>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</si>
  <si>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</si>
  <si>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</si>
  <si>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</si>
  <si>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</si>
  <si>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</si>
  <si>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</si>
  <si>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</si>
  <si>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</si>
  <si>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</si>
  <si>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</si>
  <si>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</si>
  <si>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</si>
  <si>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</si>
  <si>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</si>
  <si>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</si>
  <si>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</si>
  <si>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</si>
  <si>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</si>
  <si>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</si>
  <si>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</si>
  <si>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</si>
  <si>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</si>
  <si>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</si>
  <si>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</si>
  <si>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</si>
  <si>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</si>
  <si>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</si>
  <si>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</si>
  <si>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</si>
  <si>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</si>
  <si>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</si>
  <si>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</si>
  <si>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</si>
  <si>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</si>
  <si>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</si>
  <si>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</si>
  <si>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</si>
  <si>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</si>
  <si>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</si>
  <si>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</si>
  <si>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</si>
  <si>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</si>
  <si>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</si>
  <si>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</si>
  <si>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</si>
  <si>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</si>
  <si>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</si>
  <si>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</si>
  <si>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</si>
  <si>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</si>
  <si>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</si>
  <si>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</si>
  <si>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</si>
  <si>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</si>
  <si>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</si>
  <si>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</si>
  <si>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</si>
  <si>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</si>
  <si>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</si>
  <si>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</si>
  <si>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</si>
  <si>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</si>
  <si>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</si>
  <si>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</si>
  <si>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</si>
  <si>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</si>
  <si>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</si>
  <si>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</si>
  <si>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</si>
  <si>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</si>
  <si>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</si>
  <si>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</si>
  <si>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</si>
  <si>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</si>
  <si>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</si>
  <si>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</si>
  <si>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</si>
  <si>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</si>
  <si>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</si>
  <si>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</si>
  <si>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</si>
  <si>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</si>
  <si>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</si>
  <si>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</si>
  <si>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</si>
  <si>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</si>
  <si>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</si>
  <si>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</si>
  <si>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</si>
  <si>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</si>
  <si>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</si>
  <si>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Южная в части замены устройств РЗА присоединений ОВ-110</t>
  </si>
  <si>
    <t>Утвержденный план</t>
  </si>
  <si>
    <t>Предложение по корректировке утвержденного плана</t>
  </si>
  <si>
    <t>по состоянию на 01.01.2024 года</t>
  </si>
  <si>
    <t>M_00.0028.000028</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</si>
  <si>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</si>
  <si>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</si>
  <si>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</si>
  <si>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</si>
  <si>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</si>
  <si>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</si>
  <si>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</si>
  <si>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</si>
  <si>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</si>
  <si>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</si>
  <si>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</si>
  <si>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</si>
  <si>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</si>
  <si>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</si>
  <si>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</si>
  <si>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</si>
  <si>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</si>
  <si>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</si>
  <si>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</si>
  <si>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</si>
  <si>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</si>
  <si>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</si>
  <si>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</si>
  <si>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</si>
  <si>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</si>
  <si>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</si>
  <si>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</si>
  <si>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</si>
  <si>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</si>
  <si>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</si>
  <si>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</si>
  <si>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</si>
  <si>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</si>
  <si>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</si>
  <si>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</si>
  <si>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</si>
  <si>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</si>
  <si>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</si>
  <si>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</si>
  <si>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</si>
  <si>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</si>
  <si>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</si>
  <si>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</si>
  <si>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</si>
  <si>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</si>
  <si>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</si>
  <si>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</si>
  <si>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</si>
  <si>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</si>
  <si>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</si>
  <si>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</si>
  <si>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</si>
  <si>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</si>
  <si>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</si>
  <si>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</si>
  <si>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</si>
  <si>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</si>
  <si>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</si>
  <si>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</si>
  <si>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</si>
  <si>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уточнением расчета стоимости на основании сметной документации выполненной на основании Методики определения сметной стоимости, утвержденной Приказом Минстроя РФ от 04.08.2020 № 421/ПР</t>
  </si>
  <si>
    <t>СПР, ПНР</t>
  </si>
  <si>
    <t>Выполнение строительно-монтажных и пусконаладочных работ по проекту "Реконструкция ПС 220 кВ Южная в части замены устройств РЗА присоединений ОВ-110"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</si>
  <si>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</si>
  <si>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</si>
  <si>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</si>
  <si>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"ЭКРА-СИБИРЬ"</t>
  </si>
  <si>
    <t>-</t>
  </si>
  <si>
    <t>да</t>
  </si>
  <si>
    <t>https://com.roseltorg.ru/</t>
  </si>
  <si>
    <t>ИП</t>
  </si>
  <si>
    <t>ИП-24-00039 от 15.03.2024</t>
  </si>
  <si>
    <t>ПИР</t>
  </si>
  <si>
    <t>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</si>
  <si>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"ЭНЕРДЖИ  ПРОЕКТ"; ОБЩЕСТВО С ОГРАНИЧЕННОЙ ОТВЕТСТВЕННОСТЬЮ "ЭКРА-СИБИРЬ"; ОБЩЕСТВО С ОГРАНИЧЕННОЙ ОТВЕТСТВЕННОСТЬЮ "СЕТИ СКС"</t>
  </si>
  <si>
    <t>4760,27; 545,00; 595,03; 810,00</t>
  </si>
  <si>
    <t xml:space="preserve"> -</t>
  </si>
  <si>
    <t xml:space="preserve">382,50; </t>
  </si>
  <si>
    <t>ООО "АКД-Проект"</t>
  </si>
  <si>
    <t>ИП-22-00078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</si>
  <si>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</si>
  <si>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</si>
  <si>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</si>
  <si>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204 от 13.03.2023; 
№ 204/1 от 11.09.2023</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</si>
  <si>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</si>
  <si>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</si>
  <si>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</si>
  <si>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</si>
  <si>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</si>
  <si>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</si>
  <si>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</si>
  <si>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Южная</t>
  </si>
  <si>
    <t>4779,85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</si>
  <si>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</si>
  <si>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</si>
  <si>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С</t>
  </si>
  <si>
    <t>Сибирский Федеральный округ, Новосибирская область, г. Искитим</t>
  </si>
  <si>
    <t/>
  </si>
  <si>
    <t>1;2;3;4</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</si>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</sst>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4.77984646135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M_00.0028.000028</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Южная в части замены устройств РЗА присоединений ОВ-110</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4.9318502354677545</v>
      </c>
      <c r="D24" s="279">
        <f t="shared" si="0"/>
        <v>4.77984646135</v>
      </c>
      <c r="E24" s="284">
        <f t="shared" si="0"/>
        <v>4.3208464613500004</v>
      </c>
      <c r="F24" s="284">
        <f t="shared" si="0"/>
        <v>0</v>
      </c>
      <c r="G24" s="267">
        <f t="shared" si="0"/>
        <v>4.3208464613500004</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4.1305964383056288</v>
      </c>
      <c r="D27" s="279">
        <v>3.9993407266063978</v>
      </c>
      <c r="E27" s="285">
        <f>J27+N27+G27+P27+T27+X27</f>
        <v>3.596092664187875</v>
      </c>
      <c r="F27" s="285">
        <f t="shared" si="8"/>
        <v>0</v>
      </c>
      <c r="G27" s="267">
        <v>3.596092664187875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545</v>
      </c>
      <c r="J28" s="280">
        <v>0</v>
      </c>
      <c r="K28" s="281" t="s">
        <v>545</v>
      </c>
      <c r="L28" s="266">
        <v>0</v>
      </c>
      <c r="M28" s="268" t="s">
        <v>545</v>
      </c>
      <c r="N28" s="280">
        <v>0</v>
      </c>
      <c r="O28" s="281" t="s">
        <v>545</v>
      </c>
      <c r="P28" s="154">
        <v>0</v>
      </c>
      <c r="Q28" s="154" t="s">
        <v>545</v>
      </c>
      <c r="R28" s="280">
        <v>0</v>
      </c>
      <c r="S28" s="281">
        <v>0</v>
      </c>
      <c r="T28" s="154">
        <v>0</v>
      </c>
      <c r="U28" s="154" t="s">
        <v>545</v>
      </c>
      <c r="V28" s="280">
        <v>0</v>
      </c>
      <c r="W28" s="281">
        <v>0</v>
      </c>
      <c r="X28" s="154">
        <v>0</v>
      </c>
      <c r="Y28" s="154" t="s">
        <v>545</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545</v>
      </c>
      <c r="J29" s="280">
        <v>0</v>
      </c>
      <c r="K29" s="281" t="s">
        <v>545</v>
      </c>
      <c r="L29" s="266">
        <v>0</v>
      </c>
      <c r="M29" s="268" t="s">
        <v>545</v>
      </c>
      <c r="N29" s="280">
        <v>0</v>
      </c>
      <c r="O29" s="281" t="s">
        <v>545</v>
      </c>
      <c r="P29" s="154">
        <v>0</v>
      </c>
      <c r="Q29" s="288" t="s">
        <v>545</v>
      </c>
      <c r="R29" s="280">
        <v>0</v>
      </c>
      <c r="S29" s="281">
        <v>0</v>
      </c>
      <c r="T29" s="154">
        <v>0</v>
      </c>
      <c r="U29" s="154" t="s">
        <v>545</v>
      </c>
      <c r="V29" s="280">
        <v>0</v>
      </c>
      <c r="W29" s="281">
        <v>0</v>
      </c>
      <c r="X29" s="154">
        <v>0</v>
      </c>
      <c r="Y29" s="154" t="s">
        <v>545</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545</v>
      </c>
      <c r="J30" s="280">
        <v>0</v>
      </c>
      <c r="K30" s="281" t="s">
        <v>545</v>
      </c>
      <c r="L30" s="266">
        <v>0</v>
      </c>
      <c r="M30" s="268" t="s">
        <v>545</v>
      </c>
      <c r="N30" s="280">
        <v>0</v>
      </c>
      <c r="O30" s="281" t="s">
        <v>545</v>
      </c>
      <c r="P30" s="154">
        <v>0</v>
      </c>
      <c r="Q30" s="154" t="s">
        <v>545</v>
      </c>
      <c r="R30" s="280">
        <v>0</v>
      </c>
      <c r="S30" s="281">
        <v>0</v>
      </c>
      <c r="T30" s="154">
        <v>0</v>
      </c>
      <c r="U30" s="154" t="s">
        <v>545</v>
      </c>
      <c r="V30" s="280">
        <v>0</v>
      </c>
      <c r="W30" s="281">
        <v>0</v>
      </c>
      <c r="X30" s="154">
        <v>0</v>
      </c>
      <c r="Y30" s="154" t="s">
        <v>545</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545</v>
      </c>
      <c r="J31" s="280">
        <v>0</v>
      </c>
      <c r="K31" s="281" t="s">
        <v>545</v>
      </c>
      <c r="L31" s="266">
        <v>0</v>
      </c>
      <c r="M31" s="268" t="s">
        <v>545</v>
      </c>
      <c r="N31" s="280">
        <v>0</v>
      </c>
      <c r="O31" s="281" t="s">
        <v>545</v>
      </c>
      <c r="P31" s="154">
        <v>0</v>
      </c>
      <c r="Q31" s="154" t="s">
        <v>545</v>
      </c>
      <c r="R31" s="280">
        <v>0</v>
      </c>
      <c r="S31" s="281">
        <v>0</v>
      </c>
      <c r="T31" s="154">
        <v>0</v>
      </c>
      <c r="U31" s="154" t="s">
        <v>545</v>
      </c>
      <c r="V31" s="280">
        <v>0</v>
      </c>
      <c r="W31" s="281">
        <v>0</v>
      </c>
      <c r="X31" s="154">
        <v>0</v>
      </c>
      <c r="Y31" s="154" t="s">
        <v>545</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0.80125379716212597</v>
      </c>
      <c r="D33" s="280">
        <v>0.7805057347436023</v>
      </c>
      <c r="E33" s="285">
        <f>J33+N33+G33+P33+T33+X33</f>
        <v>0.72475379716212551</v>
      </c>
      <c r="F33" s="285">
        <f t="shared" ref="F33" si="18">E33-G33</f>
        <v>0</v>
      </c>
      <c r="G33" s="266">
        <v>0.72475379716212551</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4.1305964383056306</v>
      </c>
      <c r="D34" s="279">
        <f t="shared" ref="D34:G34" si="19">SUM(D35:D38)</f>
        <v>4.0041418613499999</v>
      </c>
      <c r="E34" s="285">
        <f t="shared" ref="E34" si="20">J34+N34+G34+P34+T34+X34</f>
        <v>3.6216418613500001</v>
      </c>
      <c r="F34" s="279">
        <f t="shared" si="19"/>
        <v>0</v>
      </c>
      <c r="G34" s="267">
        <f t="shared" si="19"/>
        <v>3.6216418613500001</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0.38250000000000001</v>
      </c>
      <c r="D35" s="280">
        <v>0.38250000000000001</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0.99900558419281515</v>
      </c>
      <c r="D36" s="280">
        <v>0.96378839631943081</v>
      </c>
      <c r="E36" s="285">
        <f>J36+N36+G36+P36+T36+X36</f>
        <v>0.96378839631943081</v>
      </c>
      <c r="F36" s="285">
        <f t="shared" ref="F36:F37" si="30">E36-G36</f>
        <v>0</v>
      </c>
      <c r="G36" s="266">
        <v>0.96378839631943081</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1.7614585032939076</v>
      </c>
      <c r="D37" s="280">
        <v>1.6993631396410669</v>
      </c>
      <c r="E37" s="285">
        <f>J37+N37+G37+P37+T37+X37</f>
        <v>1.6993631396410669</v>
      </c>
      <c r="F37" s="285">
        <f t="shared" si="30"/>
        <v>0</v>
      </c>
      <c r="G37" s="266">
        <v>1.6993631396410669</v>
      </c>
      <c r="H37" s="266">
        <v>0</v>
      </c>
      <c r="I37" s="266">
        <v>0</v>
      </c>
      <c r="J37" s="280">
        <v>0</v>
      </c>
      <c r="K37" s="281">
        <v>0</v>
      </c>
      <c r="L37" s="266">
        <v>0</v>
      </c>
      <c r="M37" s="266" t="s">
        <v>546</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0.98763235081890755</v>
      </c>
      <c r="D38" s="280">
        <v>0.9584903253895023</v>
      </c>
      <c r="E38" s="285">
        <f>J38+N38+G38+P38+T38+X38</f>
        <v>0.95849032538950241</v>
      </c>
      <c r="F38" s="285">
        <f>E38-G38</f>
        <v>0</v>
      </c>
      <c r="G38" s="266">
        <v>0.95849032538950241</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4.1305964383056306</v>
      </c>
      <c r="D56" s="280">
        <v>4.0041418613499999</v>
      </c>
      <c r="E56" s="285">
        <f t="shared" ref="E56:E61" si="36">J56+N56+G56+P56+T56+X56</f>
        <v>4.0041418613499999</v>
      </c>
      <c r="F56" s="280">
        <f t="shared" si="33"/>
        <v>0</v>
      </c>
      <c r="G56" s="266">
        <v>4.0041418613499999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3" zoomScale="80" zoomScaleSheetLayoutView="80" workbookViewId="0">
      <selection activeCell="AX3"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M_00.0028.000028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Южная в части замены устройств РЗА присоединений ОВ-110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547</v>
      </c>
      <c r="AY22" s="490" t="s">
        <v>548</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4219.03</v>
      </c>
      <c r="Q26" s="177" t="s">
        <v>425</v>
      </c>
      <c r="R26" s="179">
        <f>SUM(R27:R86)</f>
        <v>4097.5051400000002</v>
      </c>
      <c r="S26" s="177" t="s">
        <v>425</v>
      </c>
      <c r="T26" s="177" t="s">
        <v>425</v>
      </c>
      <c r="U26" s="177" t="s">
        <v>425</v>
      </c>
      <c r="V26" s="177" t="s">
        <v>425</v>
      </c>
      <c r="W26" s="177" t="s">
        <v>425</v>
      </c>
      <c r="X26" s="177" t="s">
        <v>425</v>
      </c>
      <c r="Y26" s="177" t="s">
        <v>425</v>
      </c>
      <c r="Z26" s="177" t="s">
        <v>425</v>
      </c>
      <c r="AA26" s="177" t="s">
        <v>425</v>
      </c>
      <c r="AB26" s="179">
        <f>SUM(AB27:AB86)</f>
        <v>3878.5230000000001</v>
      </c>
      <c r="AC26" s="177" t="s">
        <v>425</v>
      </c>
      <c r="AD26" s="179">
        <f>SUM(AD27:AD86)</f>
        <v>4654.2276000000002</v>
      </c>
      <c r="AE26" s="179">
        <f>SUM(AE27:AE86)</f>
        <v>4195.2276000000002</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382.5</v>
      </c>
      <c r="AY26" s="179">
        <f t="shared" si="46"/>
        <v>459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3624</v>
      </c>
      <c r="Q27" s="214" t="s">
        <v>512</v>
      </c>
      <c r="R27" s="215">
        <v>3502.47514</v>
      </c>
      <c r="S27" s="214" t="s">
        <v>513</v>
      </c>
      <c r="T27" s="214" t="s">
        <v>513</v>
      </c>
      <c r="U27" s="214">
        <v>3</v>
      </c>
      <c r="V27" s="214">
        <v>1</v>
      </c>
      <c r="W27" s="214" t="s">
        <v>514</v>
      </c>
      <c r="X27" s="214">
        <v>3496.0230000000001</v>
      </c>
      <c r="Y27" s="214" t="s">
        <v>515</v>
      </c>
      <c r="Z27" s="214">
        <v>1</v>
      </c>
      <c r="AA27" s="214">
        <v>3496.0230000000001</v>
      </c>
      <c r="AB27" s="215">
        <v>3496.0230000000001</v>
      </c>
      <c r="AC27" s="214" t="s">
        <v>514</v>
      </c>
      <c r="AD27" s="215">
        <v>4195.2276000000002</v>
      </c>
      <c r="AE27" s="291">
        <f>IF(IFERROR(AD27-AY27,"нд")&lt;0,0,IFERROR(AD27-AY27,"нд"))</f>
        <v>4195.2276000000002</v>
      </c>
      <c r="AF27" s="214">
        <v>32413226576</v>
      </c>
      <c r="AG27" s="214" t="s">
        <v>516</v>
      </c>
      <c r="AH27" s="214" t="s">
        <v>517</v>
      </c>
      <c r="AI27" s="216">
        <v>45322</v>
      </c>
      <c r="AJ27" s="216">
        <v>45321</v>
      </c>
      <c r="AK27" s="216">
        <v>45337</v>
      </c>
      <c r="AL27" s="216">
        <v>45348</v>
      </c>
      <c r="AM27" s="214" t="s">
        <v>425</v>
      </c>
      <c r="AN27" s="214" t="s">
        <v>425</v>
      </c>
      <c r="AO27" s="214" t="s">
        <v>425</v>
      </c>
      <c r="AP27" s="214" t="s">
        <v>425</v>
      </c>
      <c r="AQ27" s="216">
        <v>45412</v>
      </c>
      <c r="AR27" s="216">
        <v>45366</v>
      </c>
      <c r="AS27" s="216">
        <v>45412</v>
      </c>
      <c r="AT27" s="216">
        <v>45366</v>
      </c>
      <c r="AU27" s="216">
        <v>45688</v>
      </c>
      <c r="AV27" s="214" t="s">
        <v>425</v>
      </c>
      <c r="AW27" s="214" t="s">
        <v>425</v>
      </c>
      <c r="AX27" s="217">
        <v>0</v>
      </c>
      <c r="AY27" s="217">
        <v>0</v>
      </c>
      <c r="AZ27" s="215" t="s">
        <v>518</v>
      </c>
      <c r="BA27" s="215" t="s">
        <v>509</v>
      </c>
      <c r="BB27" s="215" t="s">
        <v>514</v>
      </c>
      <c r="BC27" s="215" t="s">
        <v>519</v>
      </c>
      <c r="BD27" s="215" t="str">
        <f>CONCATENATE(BB27,", ",BA27,", ",N27,", ","договор № ",BC27)</f>
        <v>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520</v>
      </c>
      <c r="N28" s="214" t="s">
        <v>521</v>
      </c>
      <c r="O28" s="214" t="s">
        <v>511</v>
      </c>
      <c r="P28" s="215">
        <v>595.03</v>
      </c>
      <c r="Q28" s="214" t="s">
        <v>512</v>
      </c>
      <c r="R28" s="215">
        <v>595.03</v>
      </c>
      <c r="S28" s="214" t="s">
        <v>513</v>
      </c>
      <c r="T28" s="214" t="s">
        <v>513</v>
      </c>
      <c r="U28" s="214">
        <v>4</v>
      </c>
      <c r="V28" s="214">
        <v>4</v>
      </c>
      <c r="W28" s="214" t="s">
        <v>522</v>
      </c>
      <c r="X28" s="214" t="s">
        <v>523</v>
      </c>
      <c r="Y28" s="214" t="s">
        <v>524</v>
      </c>
      <c r="Z28" s="214">
        <v>1</v>
      </c>
      <c r="AA28" s="214" t="s">
        <v>525</v>
      </c>
      <c r="AB28" s="215">
        <v>382.5</v>
      </c>
      <c r="AC28" s="214" t="s">
        <v>526</v>
      </c>
      <c r="AD28" s="215">
        <v>459</v>
      </c>
      <c r="AE28" s="291">
        <f t="shared" ref="AE28:AE86" si="49">IF(IFERROR(AD28-AY28,"нд")&lt;0,0,IFERROR(AD28-AY28,"нд"))</f>
        <v>0</v>
      </c>
      <c r="AF28" s="214">
        <v>32211176562</v>
      </c>
      <c r="AG28" s="214" t="s">
        <v>516</v>
      </c>
      <c r="AH28" s="214" t="s">
        <v>517</v>
      </c>
      <c r="AI28" s="216">
        <v>44620</v>
      </c>
      <c r="AJ28" s="216">
        <v>44620</v>
      </c>
      <c r="AK28" s="216">
        <v>44638</v>
      </c>
      <c r="AL28" s="216">
        <v>44645</v>
      </c>
      <c r="AM28" s="214" t="s">
        <v>425</v>
      </c>
      <c r="AN28" s="214" t="s">
        <v>425</v>
      </c>
      <c r="AO28" s="214" t="s">
        <v>425</v>
      </c>
      <c r="AP28" s="214" t="s">
        <v>425</v>
      </c>
      <c r="AQ28" s="216">
        <v>44665</v>
      </c>
      <c r="AR28" s="216">
        <v>44663</v>
      </c>
      <c r="AS28" s="216">
        <v>44665</v>
      </c>
      <c r="AT28" s="216">
        <v>44663</v>
      </c>
      <c r="AU28" s="216">
        <v>44925</v>
      </c>
      <c r="AV28" s="214" t="s">
        <v>425</v>
      </c>
      <c r="AW28" s="214" t="s">
        <v>425</v>
      </c>
      <c r="AX28" s="215">
        <v>382.5</v>
      </c>
      <c r="AY28" s="215">
        <v>459</v>
      </c>
      <c r="AZ28" s="215" t="s">
        <v>518</v>
      </c>
      <c r="BA28" s="215" t="s">
        <v>520</v>
      </c>
      <c r="BB28" s="215" t="s">
        <v>526</v>
      </c>
      <c r="BC28" s="215" t="s">
        <v>527</v>
      </c>
      <c r="BD28" s="215" t="str">
        <f t="shared" ref="BD28:BD86" si="50">CONCATENATE(BB28,", ",BA28,", ",N28,", ","договор № ",BC28)</f>
        <v>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M_00.0028.000028</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Южная в части замены устройств РЗА присоединений ОВ-110</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539</v>
      </c>
    </row>
    <row r="22" spans="1:2" x14ac:dyDescent="0.25">
      <c r="A22" s="157" t="s">
        <v>306</v>
      </c>
      <c r="B22" s="157" t="s">
        <v>544</v>
      </c>
    </row>
    <row r="23" spans="1:2" x14ac:dyDescent="0.25">
      <c r="A23" s="157" t="s">
        <v>288</v>
      </c>
      <c r="B23" s="157" t="s">
        <v>530</v>
      </c>
    </row>
    <row r="24" spans="1:2" x14ac:dyDescent="0.25">
      <c r="A24" s="157" t="s">
        <v>307</v>
      </c>
      <c r="B24" s="157" t="s">
        <v>425</v>
      </c>
    </row>
    <row r="25" spans="1:2" x14ac:dyDescent="0.25">
      <c r="A25" s="158" t="s">
        <v>308</v>
      </c>
      <c r="B25" s="175">
        <v>45656</v>
      </c>
    </row>
    <row r="26" spans="1:2" x14ac:dyDescent="0.25">
      <c r="A26" s="158" t="s">
        <v>309</v>
      </c>
      <c r="B26" s="160" t="s">
        <v>543</v>
      </c>
    </row>
    <row r="27" spans="1:2" x14ac:dyDescent="0.25">
      <c r="A27" s="160" t="str">
        <f>CONCATENATE("Стоимость проекта в прогнозных ценах, млн. руб. с НДС")</f>
        <v>Стоимость проекта в прогнозных ценах, млн. руб. с НДС</v>
      </c>
      <c r="B27" s="171">
        <v>4.77984646135</v>
      </c>
    </row>
    <row r="28" spans="1:2" ht="93.75" customHeight="1" x14ac:dyDescent="0.25">
      <c r="A28" s="159" t="s">
        <v>310</v>
      </c>
      <c r="B28" s="162" t="s">
        <v>531</v>
      </c>
    </row>
    <row r="29" spans="1:2" ht="28.5" x14ac:dyDescent="0.25">
      <c r="A29" s="160" t="s">
        <v>311</v>
      </c>
      <c r="B29" s="171">
        <f>'7. Паспорт отчет о закупке'!$AB$26*1.2/1000</f>
        <v>4.6542276000000005</v>
      </c>
    </row>
    <row r="30" spans="1:2" ht="28.5" x14ac:dyDescent="0.25">
      <c r="A30" s="160" t="s">
        <v>312</v>
      </c>
      <c r="B30" s="171">
        <f>'7. Паспорт отчет о закупке'!$AD$26/1000</f>
        <v>4.6542276000000005</v>
      </c>
    </row>
    <row r="31" spans="1:2" x14ac:dyDescent="0.25">
      <c r="A31" s="159" t="s">
        <v>313</v>
      </c>
      <c r="B31" s="161"/>
    </row>
    <row r="32" spans="1:2" ht="28.5" x14ac:dyDescent="0.25">
      <c r="A32" s="160" t="s">
        <v>314</v>
      </c>
      <c r="B32" s="171">
        <f>SUM(SUMIF(B33,"&gt;0",B33),SUMIF(B37,"&gt;0",B37),SUMIF(B41,"&gt;0",B41),SUMIF(B45,"&gt;0",B45),SUMIF(B49,"&gt;0",B49),SUMIF(B53,"&gt;0",B53))</f>
        <v>4.6542275999999996</v>
      </c>
    </row>
    <row r="33" spans="1:2" ht="30" x14ac:dyDescent="0.25">
      <c r="A33" s="168" t="s">
        <v>433</v>
      </c>
      <c r="B33" s="161">
        <f>IFERROR(IF(VLOOKUP(1,'7. Паспорт отчет о закупке'!$A$27:$CD$86,52,0)="ИП",VLOOKUP(1,'7. Паспорт отчет о закупке'!$A$27:$CD$86,30,0)/1000,"нд"),"нд")</f>
        <v>4.1952275999999999</v>
      </c>
    </row>
    <row r="34" spans="1:2" x14ac:dyDescent="0.25">
      <c r="A34" s="168" t="s">
        <v>315</v>
      </c>
      <c r="B34" s="161">
        <f>IF(B33="нд","нд",$B33/$B$27*100)</f>
        <v>87.769087018228547</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f>IF(VLOOKUP(2,'7. Паспорт отчет о закупке'!$A$27:$CD$86,52,0)="ИП",VLOOKUP(2,'7. Паспорт отчет о закупке'!$A$27:$CD$86,30,0)/1000,"нд")</f>
        <v>0.45900000000000002</v>
      </c>
    </row>
    <row r="38" spans="1:2" x14ac:dyDescent="0.25">
      <c r="A38" s="168" t="s">
        <v>315</v>
      </c>
      <c r="B38" s="161">
        <f>IF(B37="нд","нд",$B37/$B$27*100)</f>
        <v>9.6028189129397674</v>
      </c>
    </row>
    <row r="39" spans="1:2" x14ac:dyDescent="0.25">
      <c r="A39" s="168" t="s">
        <v>316</v>
      </c>
      <c r="B39" s="161">
        <f>IF(VLOOKUP(2,'7. Паспорт отчет о закупке'!$A$27:$CD$86,52,0)="ИП",VLOOKUP(2,'7. Паспорт отчет о закупке'!$A$27:$CD$86,51,0)/1000,"нд")</f>
        <v>0.45900000000000002</v>
      </c>
    </row>
    <row r="40" spans="1:2" x14ac:dyDescent="0.25">
      <c r="A40" s="168" t="s">
        <v>437</v>
      </c>
      <c r="B40" s="161">
        <f>IF(VLOOKUP(2,'7. Паспорт отчет о закупке'!$A$27:$CD$86,52,0)="ИП",VLOOKUP(2,'7. Паспорт отчет о закупке'!$A$27:$CD$86,50,0)/1000,"нд")</f>
        <v>0.38250000000000001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9.6028189129397674</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0.45899999999999963</v>
      </c>
    </row>
    <row r="90" spans="1:7" x14ac:dyDescent="0.25">
      <c r="A90" s="158" t="s">
        <v>436</v>
      </c>
      <c r="B90" s="171">
        <f>IFERROR(SUM(B91*1.2/$B$27*100),0)</f>
        <v>9.6028189129397639</v>
      </c>
    </row>
    <row r="91" spans="1:7" x14ac:dyDescent="0.25">
      <c r="A91" s="158" t="s">
        <v>441</v>
      </c>
      <c r="B91" s="171">
        <f>'6.2. Паспорт фин осв ввод'!D34-'6.2. Паспорт фин осв ввод'!E34</f>
        <v>0.38249999999999984</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СПР, ПНР, Выполнение строительно-монтажных и пусконаладочных работ по проекту "Реконструкция ПС 220 кВ Южная в части замены устройств РЗА присоединений ОВ-110", договор № ИП-24-00039 от 15.03.2024
ООО "АКД-Проект", ПИР, Наименование предмета закупки: Выполнение проектно-изыскательских работ по проекту "Реконструкция ПС 220 кВ Южная в части замены устройств РЗА присоединений ОВ-110-220", договор № ИП-22-00078 от 12.04.2022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M_00.0028.000028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Южная в части замены устройств РЗА присоединений ОВ-110</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M_00.0028.000028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Южная в части замены устройств РЗА присоединений ОВ-110</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Южная в части замены устройств РЗА присоединений ОВ-110</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M_00.0028.000028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Южная в части замены устройств РЗА присоединений ОВ-110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M_00.0028.000028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Южная в части замены устройств РЗА присоединений ОВ-110</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M_00.0028.000028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Южная в части замены устройств РЗА присоединений ОВ-110</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M_00.0028.000028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Южная в части замены устройств РЗА присоединений ОВ-110</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M_00.0028.000028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Южная в части замены устройств РЗА присоединений ОВ-110</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44998</v>
      </c>
      <c r="E25" s="255">
        <v>44562</v>
      </c>
      <c r="F25" s="255">
        <v>45180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44663</v>
      </c>
      <c r="E31" s="255">
        <v>44562</v>
      </c>
      <c r="F31" s="255">
        <v>44663</v>
      </c>
      <c r="G31" s="260">
        <v>1</v>
      </c>
      <c r="H31" s="260">
        <v>1</v>
      </c>
      <c r="I31" s="257" t="s">
        <v>425</v>
      </c>
      <c r="J31" s="257" t="s">
        <v>425</v>
      </c>
    </row>
    <row r="32" spans="1:12" x14ac:dyDescent="0.25">
      <c r="A32" s="257" t="s">
        <v>466</v>
      </c>
      <c r="B32" s="258" t="s">
        <v>467</v>
      </c>
      <c r="C32" s="255">
        <v>44723</v>
      </c>
      <c r="D32" s="255">
        <v>44995</v>
      </c>
      <c r="E32" s="255">
        <v>44703</v>
      </c>
      <c r="F32" s="255">
        <v>44985</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44995</v>
      </c>
      <c r="D35" s="255">
        <v>44998</v>
      </c>
      <c r="E35" s="255">
        <v>44998</v>
      </c>
      <c r="F35" s="255">
        <v>45180</v>
      </c>
      <c r="G35" s="260">
        <v>1</v>
      </c>
      <c r="H35" s="260">
        <v>1</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44995</v>
      </c>
      <c r="D37" s="255">
        <v>44995</v>
      </c>
      <c r="E37" s="255">
        <v>44763</v>
      </c>
      <c r="F37" s="255">
        <v>44985</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45292</v>
      </c>
      <c r="D39" s="255">
        <v>45322</v>
      </c>
      <c r="E39" s="255">
        <v>45306</v>
      </c>
      <c r="F39" s="255">
        <v>45366</v>
      </c>
      <c r="G39" s="263">
        <v>1</v>
      </c>
      <c r="H39" s="263">
        <v>1</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45323</v>
      </c>
      <c r="D41" s="255">
        <v>45652</v>
      </c>
      <c r="E41" s="255">
        <v>45386</v>
      </c>
      <c r="F41" s="255">
        <v>45651</v>
      </c>
      <c r="G41" s="261">
        <v>1</v>
      </c>
      <c r="H41" s="261">
        <v>1</v>
      </c>
      <c r="I41" s="252" t="s">
        <v>425</v>
      </c>
      <c r="J41" s="252" t="s">
        <v>425</v>
      </c>
    </row>
    <row r="42" spans="1:10" x14ac:dyDescent="0.25">
      <c r="A42" s="257" t="s">
        <v>483</v>
      </c>
      <c r="B42" s="258" t="s">
        <v>484</v>
      </c>
      <c r="C42" s="255">
        <v>45323</v>
      </c>
      <c r="D42" s="255">
        <v>45353</v>
      </c>
      <c r="E42" s="255">
        <v>45386</v>
      </c>
      <c r="F42" s="255">
        <v>45534</v>
      </c>
      <c r="G42" s="263">
        <v>1</v>
      </c>
      <c r="H42" s="263">
        <v>1</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45628</v>
      </c>
      <c r="D47" s="255">
        <v>45652</v>
      </c>
      <c r="E47" s="255">
        <v>45628</v>
      </c>
      <c r="F47" s="255">
        <v>45651</v>
      </c>
      <c r="G47" s="263" t="s">
        <v>425</v>
      </c>
      <c r="H47" s="263" t="s">
        <v>425</v>
      </c>
      <c r="I47" s="257" t="s">
        <v>425</v>
      </c>
      <c r="J47" s="257" t="s">
        <v>425</v>
      </c>
    </row>
    <row r="48" spans="1:10" x14ac:dyDescent="0.25">
      <c r="A48" s="252">
        <v>4</v>
      </c>
      <c r="B48" s="254" t="s">
        <v>495</v>
      </c>
      <c r="C48" s="255">
        <v>45653</v>
      </c>
      <c r="D48" s="255">
        <v>45656</v>
      </c>
      <c r="E48" s="255">
        <v>45652</v>
      </c>
      <c r="F48" s="255">
        <v>45656</v>
      </c>
      <c r="G48" s="261" t="s">
        <v>425</v>
      </c>
      <c r="H48" s="261" t="s">
        <v>425</v>
      </c>
      <c r="I48" s="252" t="s">
        <v>425</v>
      </c>
      <c r="J48" s="252" t="s">
        <v>425</v>
      </c>
    </row>
    <row r="49" spans="1:10" x14ac:dyDescent="0.25">
      <c r="A49" s="257" t="s">
        <v>496</v>
      </c>
      <c r="B49" s="258" t="s">
        <v>497</v>
      </c>
      <c r="C49" s="255">
        <v>45653</v>
      </c>
      <c r="D49" s="255">
        <v>45656</v>
      </c>
      <c r="E49" s="255">
        <v>45652</v>
      </c>
      <c r="F49" s="255">
        <v>45655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45653</v>
      </c>
      <c r="D53" s="255">
        <v>45656</v>
      </c>
      <c r="E53" s="255">
        <v>45655</v>
      </c>
      <c r="F53" s="255">
        <v>45656</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2024-11-14T09:39:25Z</dcterms:modified>
</cp:coreProperties>
</file>