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96E430AA-986C-442F-905B-432C0107D371}"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9"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AE27" i="5" l="1"/>
  <c r="H27" i="5"/>
  <c r="AE39"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3" i="5"/>
  <c r="AE48" i="5" l="1"/>
  <c r="B27" i="5"/>
  <c r="AE80" i="5"/>
  <c r="AE77" i="5"/>
  <c r="AE81" i="5"/>
  <c r="AE62" i="5"/>
  <c r="AE70" i="5"/>
  <c r="AE37" i="5"/>
  <c r="AE51" i="5"/>
  <c r="AE74" i="5"/>
  <c r="AE84" i="5"/>
  <c r="AE46" i="5"/>
  <c r="AE38" i="5"/>
  <c r="AE44" i="5"/>
  <c r="AE36" i="5"/>
  <c r="AE41"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<sst xmlns="http://schemas.openxmlformats.org/spreadsheetml/2006/main" count="4298" uniqueCount="570">
  <si>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</si>
  <si>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</si>
  <si>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</si>
  <si>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</si>
  <si>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</si>
  <si>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</si>
  <si>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</si>
  <si>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</si>
  <si>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</si>
  <si>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</si>
  <si>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</si>
  <si>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</si>
  <si>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</si>
  <si>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</si>
  <si>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</si>
  <si>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</si>
  <si>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</si>
  <si>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</si>
  <si>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</si>
  <si>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</si>
  <si>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</si>
  <si>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</si>
  <si>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</si>
  <si>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</si>
  <si>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</si>
  <si>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</si>
  <si>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</si>
  <si>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</si>
  <si>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</si>
  <si>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</si>
  <si>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</si>
  <si>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</si>
  <si>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</si>
  <si>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</si>
  <si>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</si>
  <si>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</si>
  <si>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</si>
  <si>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</si>
  <si>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</si>
  <si>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</si>
  <si>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</si>
  <si>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</si>
  <si>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</si>
  <si>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</si>
  <si>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</si>
  <si>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</si>
  <si>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</si>
  <si>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</si>
  <si>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</si>
  <si>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</si>
  <si>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</si>
  <si>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</si>
  <si>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</si>
  <si>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</si>
  <si>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</si>
  <si>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</si>
  <si>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</si>
  <si>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</si>
  <si>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</si>
  <si>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</si>
  <si>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</si>
  <si>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</si>
  <si>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</si>
  <si>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</si>
  <si>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</si>
  <si>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</si>
  <si>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</si>
  <si>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</si>
  <si>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</si>
  <si>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</si>
  <si>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</si>
  <si>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</si>
  <si>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</si>
  <si>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</si>
  <si>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</si>
  <si>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</si>
  <si>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</si>
  <si>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</si>
  <si>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</si>
  <si>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</si>
  <si>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</si>
  <si>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</si>
  <si>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</si>
  <si>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</si>
  <si>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</si>
  <si>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</si>
  <si>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</si>
  <si>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</si>
  <si>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</si>
  <si>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</si>
  <si>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</si>
  <si>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</si>
  <si>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</si>
  <si>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</si>
  <si>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</si>
  <si>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</si>
  <si>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</si>
  <si>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</si>
  <si>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</si>
  <si>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</si>
  <si>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</si>
  <si>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</si>
  <si>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</si>
  <si>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</si>
  <si>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</si>
  <si>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</si>
  <si>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</si>
  <si>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</si>
  <si>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</si>
  <si>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</si>
  <si>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</si>
  <si>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</si>
  <si>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</si>
  <si>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</si>
  <si>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</si>
  <si>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</si>
  <si>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</si>
  <si>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</si>
  <si>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</si>
  <si>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</si>
  <si>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</si>
  <si>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</si>
  <si>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</si>
  <si>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</si>
  <si>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</si>
  <si>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</si>
  <si>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</si>
  <si>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</si>
  <si>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</si>
  <si>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</si>
  <si>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</si>
  <si>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</si>
  <si>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</si>
  <si>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</si>
  <si>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</si>
  <si>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</si>
  <si>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</si>
  <si>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</si>
  <si>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</si>
  <si>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</si>
  <si>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</si>
  <si>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</si>
  <si>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</si>
  <si>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</si>
  <si>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</si>
  <si>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</si>
  <si>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</si>
  <si>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</si>
  <si>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</si>
  <si>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</si>
  <si>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</si>
  <si>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</si>
  <si>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</si>
  <si>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</si>
  <si>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</si>
  <si>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</si>
  <si>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</si>
  <si>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</si>
  <si>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</si>
  <si>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</si>
  <si>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</si>
  <si>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</si>
  <si>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</si>
  <si>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</si>
  <si>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</si>
  <si>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</si>
  <si>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</si>
  <si>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</si>
  <si>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</si>
  <si>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</si>
  <si>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</si>
  <si>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</si>
  <si>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</si>
  <si>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</si>
  <si>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</si>
  <si>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</si>
  <si>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</si>
  <si>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</si>
  <si>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</si>
  <si>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</si>
  <si>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</si>
  <si>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</si>
  <si>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</si>
  <si>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</si>
  <si>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</si>
  <si>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</si>
  <si>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</si>
  <si>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</si>
  <si>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</si>
  <si>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</si>
  <si>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</si>
  <si>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</si>
  <si>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</si>
  <si>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</si>
  <si>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</si>
  <si>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</si>
  <si>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</si>
  <si>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</si>
  <si>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</si>
  <si>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</si>
  <si>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</si>
  <si>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</si>
  <si>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</si>
  <si>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</si>
  <si>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</si>
  <si>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</si>
  <si>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</si>
  <si>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</si>
  <si>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</si>
  <si>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</si>
  <si>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</si>
  <si>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</si>
  <si>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</si>
  <si>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</si>
  <si>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</si>
  <si>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</si>
  <si>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</si>
  <si>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</si>
  <si>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</si>
  <si>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</si>
  <si>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</si>
  <si>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</si>
  <si>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</si>
  <si>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</si>
  <si>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</si>
  <si>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</si>
  <si>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</si>
  <si>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</si>
  <si>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</si>
  <si>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</si>
  <si>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</si>
  <si>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</si>
  <si>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</si>
  <si>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</si>
  <si>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</si>
  <si>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</si>
  <si>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</si>
  <si>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</si>
  <si>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</si>
  <si>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</si>
  <si>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</si>
  <si>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</si>
  <si>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</si>
  <si>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</si>
  <si>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</si>
  <si>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</si>
  <si>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</si>
  <si>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</si>
  <si>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</si>
  <si>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</si>
  <si>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</si>
  <si>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</si>
  <si>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</si>
  <si>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</si>
  <si>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</si>
  <si>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</si>
  <si>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</si>
  <si>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</si>
  <si>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</si>
  <si>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</si>
  <si>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</si>
  <si>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</si>
  <si>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</si>
  <si>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</si>
  <si>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</si>
  <si>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</si>
  <si>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</si>
  <si>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</si>
  <si>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</si>
  <si>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</si>
  <si>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</si>
  <si>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</si>
  <si>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</si>
  <si>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</si>
  <si>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</si>
  <si>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</si>
  <si>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</si>
  <si>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</si>
  <si>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</si>
  <si>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</si>
  <si>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</si>
  <si>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</si>
  <si>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</si>
  <si>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</si>
  <si>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</si>
  <si>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</si>
  <si>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</si>
  <si>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</si>
  <si>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</si>
  <si>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</si>
  <si>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</si>
  <si>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</si>
  <si>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</si>
  <si>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</si>
  <si>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</si>
  <si>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</si>
  <si>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</si>
  <si>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</si>
  <si>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</si>
  <si>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</si>
  <si>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</si>
  <si>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</si>
  <si>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</si>
  <si>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</si>
  <si>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</si>
  <si>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</si>
  <si>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</si>
  <si>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</si>
  <si>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</si>
  <si>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</si>
  <si>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</si>
  <si>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</si>
  <si>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</si>
  <si>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</si>
  <si>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</si>
  <si>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</si>
  <si>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</si>
  <si>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</si>
  <si>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</si>
  <si>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</si>
  <si>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</si>
  <si>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</si>
  <si>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</si>
  <si>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</si>
  <si>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</si>
  <si>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</si>
  <si>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</si>
  <si>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</si>
  <si>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</si>
  <si>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</si>
  <si>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</si>
  <si>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</si>
  <si>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</si>
  <si>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</si>
  <si>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</si>
  <si>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</si>
  <si>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</si>
  <si>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</si>
  <si>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</si>
  <si>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</si>
  <si>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</si>
  <si>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</si>
  <si>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</si>
  <si>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</si>
  <si>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</si>
  <si>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</si>
  <si>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</si>
  <si>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</si>
  <si>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</si>
  <si>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</si>
  <si>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</si>
  <si>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</si>
  <si>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</si>
  <si>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</si>
  <si>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</si>
  <si>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</si>
  <si>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</si>
  <si>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</si>
  <si>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</si>
  <si>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</si>
  <si>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</si>
  <si>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</si>
  <si>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</si>
  <si>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</si>
  <si>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</si>
  <si>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</si>
  <si>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</si>
  <si>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</si>
  <si>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</si>
  <si>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</si>
  <si>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</si>
  <si>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</si>
  <si>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</si>
  <si>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</si>
  <si>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</si>
  <si>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</si>
  <si>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</si>
  <si>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</si>
  <si>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</si>
  <si>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</si>
  <si>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</si>
  <si>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</si>
  <si>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</si>
  <si>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</si>
  <si>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</si>
  <si>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</si>
  <si>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</si>
  <si>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</si>
  <si>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</si>
  <si>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</si>
  <si>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</si>
  <si>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</si>
  <si>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</si>
  <si>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</si>
  <si>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</si>
  <si>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</si>
  <si>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</si>
  <si>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</si>
  <si>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</si>
  <si>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</si>
  <si>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</si>
  <si>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</si>
  <si>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</si>
  <si>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</si>
  <si>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</si>
  <si>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</si>
  <si>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</si>
  <si>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</si>
  <si>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</si>
  <si>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</si>
  <si>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</si>
  <si>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</si>
  <si>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</si>
  <si>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</si>
  <si>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</si>
  <si>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</si>
  <si>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</si>
  <si>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</si>
  <si>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</si>
  <si>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</si>
  <si>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</si>
  <si>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</si>
  <si>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</si>
  <si>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</si>
  <si>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</si>
  <si>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</si>
  <si>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</si>
  <si>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</si>
  <si>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</si>
  <si>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</si>
  <si>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</si>
  <si>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</si>
  <si>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</si>
  <si>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</si>
  <si>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</si>
  <si>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</si>
  <si>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</si>
  <si>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</si>
  <si>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</si>
  <si>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</si>
  <si>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</si>
  <si>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</si>
  <si>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</si>
  <si>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</si>
  <si>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Утвержденный план</t>
  </si>
  <si>
    <t>Предложение по корректировке утвержденного плана</t>
  </si>
  <si>
    <t>по состоянию на 01.01.2024 года</t>
  </si>
  <si>
    <t>M_00.0037.000037</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</si>
  <si>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</si>
  <si>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</si>
  <si>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</si>
  <si>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</si>
  <si>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</si>
  <si>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</si>
  <si>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</si>
  <si>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</si>
  <si>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</si>
  <si>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</si>
  <si>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</si>
  <si>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</si>
  <si>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</si>
  <si>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</si>
  <si>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</si>
  <si>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</si>
  <si>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</si>
  <si>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</si>
  <si>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</si>
  <si>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</si>
  <si>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</si>
  <si>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</si>
  <si>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</si>
  <si>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</si>
  <si>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</si>
  <si>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</si>
  <si>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</si>
  <si>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</si>
  <si>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</si>
  <si>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</si>
  <si>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</si>
  <si>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</si>
  <si>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</si>
  <si>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</si>
  <si>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</si>
  <si>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</si>
  <si>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</si>
  <si>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</si>
  <si>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</si>
  <si>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</si>
  <si>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</si>
  <si>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</si>
  <si>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</si>
  <si>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</si>
  <si>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</si>
  <si>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</si>
  <si>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</si>
  <si>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</si>
  <si>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</si>
  <si>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</si>
  <si>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</si>
  <si>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</si>
  <si>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</si>
  <si>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</si>
  <si>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</si>
  <si>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</si>
  <si>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</si>
  <si>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</si>
  <si>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</si>
  <si>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</si>
  <si>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технических решений принятых в проектной документации связанных с увеличением объемов устанавливаемого оборудования ПА и УПАСК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</si>
  <si>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ТМЦ</t>
  </si>
  <si>
    <t>Поставка аппаратуры передачи сигналов</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</si>
  <si>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</si>
  <si>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</si>
  <si>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</si>
  <si>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</si>
  <si>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 xml:space="preserve">	
32413710866</t>
  </si>
  <si>
    <t>да</t>
  </si>
  <si>
    <t>https://www.roseltorg.ru/</t>
  </si>
  <si>
    <t>ПД</t>
  </si>
  <si>
    <t>ПИР, СМР, ПНР</t>
  </si>
  <si>
    <t>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</si>
  <si>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Конкурс в электронной форме</t>
  </si>
  <si>
    <t>ОБЩЕСТВО С ОГРАНИЧЕННОЙ ОТВЕТСТВЕННОСТЬЮ "ПРОСОФТ-СИСТЕМЫ"; АКЦИОНЕРНОЕ ОБЩЕСТВО "ИНСТИТУТ АВТОМАТИЗАЦИИ ЭНЕРГЕТИЧЕСКИХ СИСТЕМ"</t>
  </si>
  <si>
    <t>-; 10130,00</t>
  </si>
  <si>
    <t>ОБЩЕСТВО С ОГРАНИЧЕННОЙ ОТВЕТСТВЕННОСТЬЮ "ПРОСОФТ-СИСТЕМЫ"</t>
  </si>
  <si>
    <t>-</t>
  </si>
  <si>
    <t>АО "ИАЭС"</t>
  </si>
  <si>
    <t>12 156,00</t>
  </si>
  <si>
    <t>ИП</t>
  </si>
  <si>
    <t>СМР</t>
  </si>
  <si>
    <t>ИП-22-00041 от 05.03.2022</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</si>
  <si>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</si>
  <si>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</si>
  <si>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</si>
  <si>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</si>
  <si>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</si>
  <si>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</si>
  <si>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</si>
  <si>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32,95 МВА</t>
  </si>
  <si>
    <t xml:space="preserve"> 83/7700036 от 20.07.2020</t>
  </si>
  <si>
    <t>существующая ВЛ 110 кВ Восточная – Кошево с отпайками</t>
  </si>
  <si>
    <t>существующая ВЛ 110 кВ Восточная – Лазурная с отпайками</t>
  </si>
  <si>
    <t>1. Технологическое присоединение  энергопринимающих устройств Заявителей к сетям АО "Электромагистраль".</t>
  </si>
  <si>
    <t>Установка шкафов АОПО ВЛ 110 кВ Восточная-Кошево с отпайками, ВЛ 110 кВ Восточная-Лазурная с отпайками.</t>
  </si>
  <si>
    <t>ПС 220 кВ Восточная</t>
  </si>
  <si>
    <t>24920,46 тыс. руб. с НДС на 1 АОПО</t>
  </si>
  <si>
    <t>Выделение этапов не предусмотрено</t>
  </si>
  <si>
    <t>1. Договор технологического присоединения:  83/7700036 от 20.07.2020.</t>
  </si>
  <si>
    <t>П</t>
  </si>
  <si>
    <t>Сибирский Федеральный округ, Новосибирская область, г. Новосибирск</t>
  </si>
  <si>
    <t xml:space="preserve">АО "Электромагистраль" выполняет мероприятия, указанные в п.2.1-2.4 (в пределах границ земельного участка ПС 220 кВ Восточная):
2.1. Модернизация на ПС 220 кВ Восточная АОПО ВЛ 110 кВ Восточная – Кошево с отпайками, ВЛ 110 кВ Восточная – Лазурная с отпайками для реализации передачи УВ на деление сети на ПС 110 кВ Ояш и на отключение нагрузки ОАО «РЖД» (логику работы, количество каналов ПА и объем управляющих воздействий уточнить при проектировании). Устройства АОПО должны обеспечивать свою правильную работу при частоте 45,0 – 55,0 Гц;
2.2. Организация канала(ов) ПА на участке сети 110 кВ от ПС 500 кВ Юрга до 
ПС 220 кВ Восточная для передачи УВ от АОПО, указанного в п. 2.1 настоящих технических условий, посредством использования высокочастотной связи по ЛЭП, каналов связи в сетях операторов связи или существующих каналов связи по ВОЛС (способ организации каналов связи уточнить при проектировании);
2.3. Учет электрической энергии оставить по существующей схеме.
2.4. Оснастить перечисленные в разделе 2 настоящих технических условий устройства источниками бесперебойного электропитания аккумуляторного или иных типов для предотвращения их отказа при возникновении аварийных электроэнергетических режимов (необходимость установки определить проектом).
</t>
  </si>
  <si>
    <t>ДС №1/ПД-а-69-20-00993-ДС002 от 05.05.2022</t>
  </si>
  <si>
    <t>Заключен</t>
  </si>
  <si>
    <t/>
  </si>
  <si>
    <t>1;2;3</t>
  </si>
  <si>
    <t>СМР, ПНР</t>
  </si>
  <si>
    <t>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t>
  </si>
  <si>
    <t>АКЦИОНЕРНОЕ ОБЩЕСТВО "ИНСТИТУТ АВТОМАТИЗАЦИИ ЭНЕРГЕТИЧЕСКИХ СИСТЕМ"</t>
  </si>
  <si>
    <t>КВЛ по состоянию на 01.10.2024, тыс. руб. без НДС (без ФОТ)</t>
  </si>
  <si>
    <t>ФИН по состоянию на 01.10.2024, тыс. руб. с НДС (без взаимозачетов)</t>
  </si>
  <si>
    <t>ИП-24-00239 от 16.10.2024</t>
  </si>
  <si>
    <t>ПД-24-00157 от 23.07.2024</t>
  </si>
  <si>
    <t>100%</t>
  </si>
  <si>
    <t>15%</t>
  </si>
  <si>
    <t>0%</t>
  </si>
  <si>
    <t>Смещение срока начала разработки РД обусловлено длительностью согласования третьих лиц (ОАО "РЖД" - согласование объема отключаемой тяговой нагрузки, согласование завершено с участием Минэнерго РФ 17.01.2024, далее приступили к согласованию проектных решений. ПД согласована в апреле 2024 года, плановый срок завершения согласования РД 30.06.2024)</t>
  </si>
  <si>
    <t>План по корректировке ИПР уточнен при утверждении ИПР в 2024 году (Приказ от №181-НПА 09.08.2024)</t>
  </si>
  <si>
    <t>Смещение срока заключения договора на СМР обусловлено необходимостью учета дополнительного объема СМР, ПНР по договору ТП №7700060 от 17.12.2021 с датой исполнения 01.11.2024.</t>
  </si>
  <si>
    <t>Смещение срока начала выполнения СМР обусловлено длительностью согласования третьих лиц (ОАО "РЖД" - согласование объема отключаемой тяговой нагрузки, согласование завершено с участием Минэнерго РФ 17.01.2024, далее приступили к согласованию проектных решений. ПД согласована в апреле 2024 года, плановый срок начала СМР 01.10.2024)</t>
  </si>
  <si>
    <t>План по корректировке ИПР уточнен при утверждении ИПР в 2024 году (Приказ от №181-НПА 09.08.2024).
Смещение срока начала выполнения СМР обусловлено необходимостью уточнения стоимости НМЦД с учетом исполнения обязательств по договору ТП с АО "РЭС" №434/7700060  от 17.12.2021.Срок ТП ДС №1 – до 24.03.2024, в настоящее время заключен ДС № 2 – срок выполнения мероприятий по ТП  до 01.11.2024г. и как следствие увеличением срока огранизации закупочной процедуры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</si>
</sst>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531</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532</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535</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536</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536</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536</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536</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536</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537</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536</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536</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536</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525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536</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21.65</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0.38265517337318777</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538</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M_00.0037.000037</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12.834399997728699</v>
      </c>
      <c r="D24" s="279">
        <f t="shared" si="0"/>
        <v>24.920455999999998</v>
      </c>
      <c r="E24" s="284">
        <f t="shared" si="0"/>
        <v>24.911650098656505</v>
      </c>
      <c r="F24" s="284">
        <f t="shared" si="0"/>
        <v>0</v>
      </c>
      <c r="G24" s="267">
        <f t="shared" si="0"/>
        <v>24.911650098656505</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10.808399997728699</v>
      </c>
      <c r="D27" s="279">
        <v>20.85731238811562</v>
      </c>
      <c r="E27" s="285">
        <f>J27+N27+G27+P27+T27+X27</f>
        <v>22.981242699682756</v>
      </c>
      <c r="F27" s="285">
        <f t="shared" si="8"/>
        <v>0</v>
      </c>
      <c r="G27" s="267">
        <v>22.981242699682756</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553</v>
      </c>
      <c r="J28" s="280">
        <v>0</v>
      </c>
      <c r="K28" s="281" t="s">
        <v>553</v>
      </c>
      <c r="L28" s="266">
        <v>0</v>
      </c>
      <c r="M28" s="268" t="s">
        <v>553</v>
      </c>
      <c r="N28" s="280">
        <v>0</v>
      </c>
      <c r="O28" s="281" t="s">
        <v>553</v>
      </c>
      <c r="P28" s="154">
        <v>0</v>
      </c>
      <c r="Q28" s="154" t="s">
        <v>553</v>
      </c>
      <c r="R28" s="280">
        <v>0</v>
      </c>
      <c r="S28" s="281">
        <v>0</v>
      </c>
      <c r="T28" s="154">
        <v>0</v>
      </c>
      <c r="U28" s="154" t="s">
        <v>553</v>
      </c>
      <c r="V28" s="280">
        <v>0</v>
      </c>
      <c r="W28" s="281">
        <v>0</v>
      </c>
      <c r="X28" s="154">
        <v>0</v>
      </c>
      <c r="Y28" s="154" t="s">
        <v>553</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553</v>
      </c>
      <c r="J29" s="280">
        <v>0</v>
      </c>
      <c r="K29" s="281" t="s">
        <v>553</v>
      </c>
      <c r="L29" s="266">
        <v>0</v>
      </c>
      <c r="M29" s="268" t="s">
        <v>553</v>
      </c>
      <c r="N29" s="280">
        <v>0</v>
      </c>
      <c r="O29" s="281" t="s">
        <v>553</v>
      </c>
      <c r="P29" s="154">
        <v>0</v>
      </c>
      <c r="Q29" s="288" t="s">
        <v>553</v>
      </c>
      <c r="R29" s="280">
        <v>0</v>
      </c>
      <c r="S29" s="281">
        <v>0</v>
      </c>
      <c r="T29" s="154">
        <v>0</v>
      </c>
      <c r="U29" s="154" t="s">
        <v>553</v>
      </c>
      <c r="V29" s="280">
        <v>0</v>
      </c>
      <c r="W29" s="281">
        <v>0</v>
      </c>
      <c r="X29" s="154">
        <v>0</v>
      </c>
      <c r="Y29" s="154" t="s">
        <v>553</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553</v>
      </c>
      <c r="J30" s="280">
        <v>0</v>
      </c>
      <c r="K30" s="281" t="s">
        <v>553</v>
      </c>
      <c r="L30" s="266">
        <v>0</v>
      </c>
      <c r="M30" s="268" t="s">
        <v>553</v>
      </c>
      <c r="N30" s="280">
        <v>0</v>
      </c>
      <c r="O30" s="281" t="s">
        <v>553</v>
      </c>
      <c r="P30" s="154">
        <v>0</v>
      </c>
      <c r="Q30" s="154" t="s">
        <v>553</v>
      </c>
      <c r="R30" s="280">
        <v>0</v>
      </c>
      <c r="S30" s="281">
        <v>0</v>
      </c>
      <c r="T30" s="154">
        <v>0</v>
      </c>
      <c r="U30" s="154" t="s">
        <v>553</v>
      </c>
      <c r="V30" s="280">
        <v>0</v>
      </c>
      <c r="W30" s="281">
        <v>0</v>
      </c>
      <c r="X30" s="154">
        <v>0</v>
      </c>
      <c r="Y30" s="154" t="s">
        <v>553</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553</v>
      </c>
      <c r="J31" s="280">
        <v>0</v>
      </c>
      <c r="K31" s="281" t="s">
        <v>553</v>
      </c>
      <c r="L31" s="266">
        <v>0</v>
      </c>
      <c r="M31" s="268" t="s">
        <v>553</v>
      </c>
      <c r="N31" s="280">
        <v>0</v>
      </c>
      <c r="O31" s="281" t="s">
        <v>553</v>
      </c>
      <c r="P31" s="154">
        <v>0</v>
      </c>
      <c r="Q31" s="154" t="s">
        <v>553</v>
      </c>
      <c r="R31" s="280">
        <v>0</v>
      </c>
      <c r="S31" s="281">
        <v>0</v>
      </c>
      <c r="T31" s="154">
        <v>0</v>
      </c>
      <c r="U31" s="154" t="s">
        <v>553</v>
      </c>
      <c r="V31" s="280">
        <v>0</v>
      </c>
      <c r="W31" s="281">
        <v>0</v>
      </c>
      <c r="X31" s="154">
        <v>0</v>
      </c>
      <c r="Y31" s="154" t="s">
        <v>553</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2.0259999999999998</v>
      </c>
      <c r="D33" s="280">
        <v>4.063143611884378</v>
      </c>
      <c r="E33" s="285">
        <f>J33+N33+G33+P33+T33+X33</f>
        <v>1.930407398973748</v>
      </c>
      <c r="F33" s="285">
        <f t="shared" ref="F33" si="18">E33-G33</f>
        <v>0</v>
      </c>
      <c r="G33" s="266">
        <v>1.930407398973748</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10.808399997728699</v>
      </c>
      <c r="D34" s="279">
        <f t="shared" ref="D34:G34" si="19">SUM(D35:D38)</f>
        <v>20.883749999999999</v>
      </c>
      <c r="E34" s="285">
        <f t="shared" ref="E34" si="20">J34+N34+G34+P34+T34+X34</f>
        <v>20.87453146</v>
      </c>
      <c r="F34" s="279">
        <f t="shared" si="19"/>
        <v>0</v>
      </c>
      <c r="G34" s="267">
        <f t="shared" si="19"/>
        <v>20.87453146</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0.53403943243992857</v>
      </c>
      <c r="D35" s="280">
        <v>4.45</v>
      </c>
      <c r="E35" s="285">
        <f>J35+N35+G35+P35+T35+X35</f>
        <v>4.45</v>
      </c>
      <c r="F35" s="285">
        <f>E35-G35</f>
        <v>0</v>
      </c>
      <c r="G35" s="266">
        <v>4.45</v>
      </c>
      <c r="H35" s="266">
        <v>0</v>
      </c>
      <c r="I35" s="266">
        <v>0</v>
      </c>
      <c r="J35" s="280">
        <v>0</v>
      </c>
      <c r="K35" s="281">
        <v>0</v>
      </c>
      <c r="L35" s="266">
        <v>0</v>
      </c>
      <c r="M35" s="266" t="s">
        <v>61</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1.7893102536923966</v>
      </c>
      <c r="D36" s="280">
        <v>3.5584199999999999</v>
      </c>
      <c r="E36" s="285">
        <f>J36+N36+G36+P36+T36+X36</f>
        <v>3.5584199999999999</v>
      </c>
      <c r="F36" s="285">
        <f t="shared" ref="F36:F37" si="30">E36-G36</f>
        <v>0</v>
      </c>
      <c r="G36" s="266">
        <v>3.5584199999999999</v>
      </c>
      <c r="H36" s="266">
        <v>0</v>
      </c>
      <c r="I36" s="266">
        <v>0</v>
      </c>
      <c r="J36" s="280">
        <v>0</v>
      </c>
      <c r="K36" s="281">
        <v>0</v>
      </c>
      <c r="L36" s="266">
        <v>0</v>
      </c>
      <c r="M36" s="266" t="s">
        <v>61</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4.5624519106063364</v>
      </c>
      <c r="D37" s="280">
        <v>9.4774899999999995</v>
      </c>
      <c r="E37" s="285">
        <f>J37+N37+G37+P37+T37+X37</f>
        <v>9.4774899999999995</v>
      </c>
      <c r="F37" s="285">
        <f t="shared" si="30"/>
        <v>0</v>
      </c>
      <c r="G37" s="266">
        <v>9.4774899999999995</v>
      </c>
      <c r="H37" s="266">
        <v>0</v>
      </c>
      <c r="I37" s="266">
        <v>0</v>
      </c>
      <c r="J37" s="280">
        <v>0</v>
      </c>
      <c r="K37" s="281">
        <v>0</v>
      </c>
      <c r="L37" s="266">
        <v>0</v>
      </c>
      <c r="M37" s="266" t="s">
        <v>554</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3.9225984009900374</v>
      </c>
      <c r="D38" s="280">
        <v>3.39784</v>
      </c>
      <c r="E38" s="285">
        <f>J38+N38+G38+P38+T38+X38</f>
        <v>3.38862146</v>
      </c>
      <c r="F38" s="285">
        <f>E38-G38</f>
        <v>0</v>
      </c>
      <c r="G38" s="266">
        <v>3.38862146</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10.808399997728699</v>
      </c>
      <c r="D56" s="280">
        <v>20.883749999999999</v>
      </c>
      <c r="E56" s="285">
        <f t="shared" ref="E56:E61" si="36">J56+N56+G56+P56+T56+X56</f>
        <v>20.883749999999999</v>
      </c>
      <c r="F56" s="280">
        <f t="shared" si="33"/>
        <v>0</v>
      </c>
      <c r="G56" s="266">
        <v>20.883749999999999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5" zoomScale="80" zoomScaleSheetLayoutView="80" workbookViewId="0">
      <selection activeCell="AX2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M_00.0037.000037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558</v>
      </c>
      <c r="AY22" s="490" t="s">
        <v>559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45503</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28122.859189999999</v>
      </c>
      <c r="Q26" s="177" t="s">
        <v>425</v>
      </c>
      <c r="R26" s="179">
        <f>SUM(R27:R86)</f>
        <v>28122.859189999999</v>
      </c>
      <c r="S26" s="177" t="s">
        <v>425</v>
      </c>
      <c r="T26" s="177" t="s">
        <v>425</v>
      </c>
      <c r="U26" s="177" t="s">
        <v>425</v>
      </c>
      <c r="V26" s="177" t="s">
        <v>425</v>
      </c>
      <c r="W26" s="177" t="s">
        <v>425</v>
      </c>
      <c r="X26" s="177" t="s">
        <v>425</v>
      </c>
      <c r="Y26" s="177" t="s">
        <v>425</v>
      </c>
      <c r="Z26" s="177" t="s">
        <v>425</v>
      </c>
      <c r="AA26" s="177" t="s">
        <v>425</v>
      </c>
      <c r="AB26" s="179">
        <f>SUM(AB27:AB86)</f>
        <v>28027.27</v>
      </c>
      <c r="AC26" s="177" t="s">
        <v>425</v>
      </c>
      <c r="AD26" s="179">
        <f>SUM(AD27:AD86)</f>
        <v>21476.723999999998</v>
      </c>
      <c r="AE26" s="179">
        <f>SUM(AE27:AE86)</f>
        <v>16696.8</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8433.27</v>
      </c>
      <c r="AY26" s="179">
        <f t="shared" si="46"/>
        <v>10119.923999999999</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4054.3531899999998</v>
      </c>
      <c r="Q27" s="214" t="s">
        <v>512</v>
      </c>
      <c r="R27" s="215">
        <v>4054.3531899999998</v>
      </c>
      <c r="S27" s="214" t="s">
        <v>513</v>
      </c>
      <c r="T27" s="214" t="s">
        <v>513</v>
      </c>
      <c r="U27" s="214">
        <v>3</v>
      </c>
      <c r="V27" s="214">
        <v>1</v>
      </c>
      <c r="W27" s="214" t="s">
        <v>514</v>
      </c>
      <c r="X27" s="214">
        <v>4054.3531899999998</v>
      </c>
      <c r="Y27" s="214" t="s">
        <v>425</v>
      </c>
      <c r="Z27" s="214">
        <v>1</v>
      </c>
      <c r="AA27" s="214">
        <v>3983.27</v>
      </c>
      <c r="AB27" s="215">
        <v>3983.27</v>
      </c>
      <c r="AC27" s="214" t="s">
        <v>514</v>
      </c>
      <c r="AD27" s="215">
        <v>4779.924</v>
      </c>
      <c r="AE27" s="291">
        <f>IF(IFERROR(AD27-AY27,"нд")&lt;0,0,IFERROR(AD27-AY27,"нд"))</f>
        <v>0</v>
      </c>
      <c r="AF27" s="214" t="s">
        <v>515</v>
      </c>
      <c r="AG27" s="214" t="s">
        <v>516</v>
      </c>
      <c r="AH27" s="214" t="s">
        <v>517</v>
      </c>
      <c r="AI27" s="216">
        <v>45473</v>
      </c>
      <c r="AJ27" s="216">
        <v>45460</v>
      </c>
      <c r="AK27" s="216">
        <v>45468</v>
      </c>
      <c r="AL27" s="216">
        <v>45476</v>
      </c>
      <c r="AM27" s="214" t="s">
        <v>425</v>
      </c>
      <c r="AN27" s="214" t="s">
        <v>425</v>
      </c>
      <c r="AO27" s="214" t="s">
        <v>425</v>
      </c>
      <c r="AP27" s="214" t="s">
        <v>425</v>
      </c>
      <c r="AQ27" s="216">
        <v>45412</v>
      </c>
      <c r="AR27" s="216">
        <v>45496</v>
      </c>
      <c r="AS27" s="216">
        <v>45412</v>
      </c>
      <c r="AT27" s="216">
        <v>45496</v>
      </c>
      <c r="AU27" s="216">
        <v>45443</v>
      </c>
      <c r="AV27" s="214" t="s">
        <v>425</v>
      </c>
      <c r="AW27" s="214" t="s">
        <v>425</v>
      </c>
      <c r="AX27" s="217">
        <v>3983.27</v>
      </c>
      <c r="AY27" s="217">
        <v>4779.924</v>
      </c>
      <c r="AZ27" s="215" t="s">
        <v>518</v>
      </c>
      <c r="BA27" s="215" t="s">
        <v>509</v>
      </c>
      <c r="BB27" s="215" t="s">
        <v>514</v>
      </c>
      <c r="BC27" s="215" t="s">
        <v>561</v>
      </c>
      <c r="BD27" s="215" t="str">
        <f>CONCATENATE(BB27,", ",BA27,", ",N27,", ","договор № ",BC27)</f>
        <v>Общество с ограниченной ответственностью "ЭКРА-Сибирь", ТМЦ, Поставка аппаратуры передачи сигналов, договор № ПД-24-00157 от 23.07.2024</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519</v>
      </c>
      <c r="N28" s="214" t="s">
        <v>520</v>
      </c>
      <c r="O28" s="214" t="s">
        <v>511</v>
      </c>
      <c r="P28" s="215">
        <v>10154</v>
      </c>
      <c r="Q28" s="214" t="s">
        <v>512</v>
      </c>
      <c r="R28" s="215">
        <v>10154</v>
      </c>
      <c r="S28" s="214" t="s">
        <v>521</v>
      </c>
      <c r="T28" s="214" t="s">
        <v>521</v>
      </c>
      <c r="U28" s="214">
        <v>4</v>
      </c>
      <c r="V28" s="214">
        <v>2</v>
      </c>
      <c r="W28" s="214" t="s">
        <v>522</v>
      </c>
      <c r="X28" s="214" t="s">
        <v>523</v>
      </c>
      <c r="Y28" s="214" t="s">
        <v>524</v>
      </c>
      <c r="Z28" s="214" t="s">
        <v>525</v>
      </c>
      <c r="AA28" s="214" t="s">
        <v>525</v>
      </c>
      <c r="AB28" s="215">
        <v>10130</v>
      </c>
      <c r="AC28" s="214" t="s">
        <v>526</v>
      </c>
      <c r="AD28" s="215" t="s">
        <v>527</v>
      </c>
      <c r="AE28" s="291" t="str">
        <f t="shared" ref="AE28:AE86" si="49">IF(IFERROR(AD28-AY28,"нд")&lt;0,0,IFERROR(AD28-AY28,"нд"))</f>
        <v>нд</v>
      </c>
      <c r="AF28" s="214">
        <v>32110992062</v>
      </c>
      <c r="AG28" s="214" t="s">
        <v>516</v>
      </c>
      <c r="AH28" s="214" t="s">
        <v>517</v>
      </c>
      <c r="AI28" s="216">
        <v>44560</v>
      </c>
      <c r="AJ28" s="216">
        <v>44557</v>
      </c>
      <c r="AK28" s="216">
        <v>44593</v>
      </c>
      <c r="AL28" s="216">
        <v>44606</v>
      </c>
      <c r="AM28" s="214" t="s">
        <v>425</v>
      </c>
      <c r="AN28" s="214" t="s">
        <v>425</v>
      </c>
      <c r="AO28" s="214" t="s">
        <v>425</v>
      </c>
      <c r="AP28" s="214" t="s">
        <v>425</v>
      </c>
      <c r="AQ28" s="216">
        <v>44626</v>
      </c>
      <c r="AR28" s="216">
        <v>44625</v>
      </c>
      <c r="AS28" s="216">
        <v>44626</v>
      </c>
      <c r="AT28" s="216">
        <v>44625</v>
      </c>
      <c r="AU28" s="216">
        <v>45290</v>
      </c>
      <c r="AV28" s="214" t="s">
        <v>425</v>
      </c>
      <c r="AW28" s="214" t="s">
        <v>425</v>
      </c>
      <c r="AX28" s="215">
        <v>4450</v>
      </c>
      <c r="AY28" s="215">
        <v>5340</v>
      </c>
      <c r="AZ28" s="215" t="s">
        <v>528</v>
      </c>
      <c r="BA28" s="215" t="s">
        <v>529</v>
      </c>
      <c r="BB28" s="215" t="s">
        <v>526</v>
      </c>
      <c r="BC28" s="215" t="s">
        <v>530</v>
      </c>
      <c r="BD28" s="215" t="str">
        <f t="shared" ref="BD28:BD86" si="50">CONCATENATE(BB28,", ",BA28,", ",N28,", ","договор № ",BC28)</f>
        <v>АО "ИАЭС", СМР, 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договор № ИП-22-00041 от 05.03.2022</v>
      </c>
    </row>
    <row r="29" spans="1:56" s="218" customFormat="1" ht="13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555</v>
      </c>
      <c r="N29" s="214" t="s">
        <v>556</v>
      </c>
      <c r="O29" s="214" t="s">
        <v>511</v>
      </c>
      <c r="P29" s="215">
        <v>13914.505999999999</v>
      </c>
      <c r="Q29" s="214" t="s">
        <v>512</v>
      </c>
      <c r="R29" s="215">
        <v>13914.505999999999</v>
      </c>
      <c r="S29" s="214" t="s">
        <v>521</v>
      </c>
      <c r="T29" s="214" t="s">
        <v>521</v>
      </c>
      <c r="U29" s="214">
        <v>2</v>
      </c>
      <c r="V29" s="214">
        <v>1</v>
      </c>
      <c r="W29" s="214" t="s">
        <v>557</v>
      </c>
      <c r="X29" s="214">
        <v>13914</v>
      </c>
      <c r="Y29" s="214" t="s">
        <v>525</v>
      </c>
      <c r="Z29" s="214">
        <v>1</v>
      </c>
      <c r="AA29" s="214"/>
      <c r="AB29" s="215">
        <v>13914</v>
      </c>
      <c r="AC29" s="214" t="s">
        <v>557</v>
      </c>
      <c r="AD29" s="215">
        <v>16696.8</v>
      </c>
      <c r="AE29" s="291">
        <f t="shared" si="49"/>
        <v>16696.8</v>
      </c>
      <c r="AF29" s="214">
        <v>32413963523</v>
      </c>
      <c r="AG29" s="214" t="s">
        <v>516</v>
      </c>
      <c r="AH29" s="214" t="s">
        <v>517</v>
      </c>
      <c r="AI29" s="216">
        <v>45565</v>
      </c>
      <c r="AJ29" s="216">
        <v>45540</v>
      </c>
      <c r="AK29" s="216">
        <v>45558</v>
      </c>
      <c r="AL29" s="216">
        <v>45561</v>
      </c>
      <c r="AM29" s="214" t="s">
        <v>425</v>
      </c>
      <c r="AN29" s="214" t="s">
        <v>425</v>
      </c>
      <c r="AO29" s="214" t="s">
        <v>425</v>
      </c>
      <c r="AP29" s="214" t="s">
        <v>425</v>
      </c>
      <c r="AQ29" s="216">
        <v>45581</v>
      </c>
      <c r="AR29" s="216">
        <v>45581</v>
      </c>
      <c r="AS29" s="216">
        <v>45581</v>
      </c>
      <c r="AT29" s="216">
        <v>45581</v>
      </c>
      <c r="AU29" s="216">
        <v>45626</v>
      </c>
      <c r="AV29" s="214" t="s">
        <v>425</v>
      </c>
      <c r="AW29" s="214" t="s">
        <v>425</v>
      </c>
      <c r="AX29" s="215">
        <v>0</v>
      </c>
      <c r="AY29" s="215">
        <v>0</v>
      </c>
      <c r="AZ29" s="215" t="s">
        <v>528</v>
      </c>
      <c r="BA29" s="215" t="s">
        <v>555</v>
      </c>
      <c r="BB29" s="215" t="s">
        <v>557</v>
      </c>
      <c r="BC29" s="215" t="s">
        <v>560</v>
      </c>
      <c r="BD29" s="215" t="str">
        <f t="shared" si="50"/>
        <v>АКЦИОНЕРНОЕ ОБЩЕСТВО "ИНСТИТУТ АВТОМАТИЗАЦИИ ЭНЕРГЕТИЧЕСКИХ СИСТЕМ", СМР, ПНР, 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 договор № ИП-24-00239 от 16.10.2024</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19" zoomScale="70" zoomScaleNormal="90" zoomScaleSheetLayoutView="70" workbookViewId="0">
      <selection activeCell="B37" sqref="B37"/>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M_00.0037.000037</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544</v>
      </c>
    </row>
    <row r="22" spans="1:2" x14ac:dyDescent="0.25">
      <c r="A22" s="157" t="s">
        <v>306</v>
      </c>
      <c r="B22" s="157" t="s">
        <v>549</v>
      </c>
    </row>
    <row r="23" spans="1:2" x14ac:dyDescent="0.25">
      <c r="A23" s="157" t="s">
        <v>288</v>
      </c>
      <c r="B23" s="157" t="s">
        <v>533</v>
      </c>
    </row>
    <row r="24" spans="1:2" x14ac:dyDescent="0.25">
      <c r="A24" s="157" t="s">
        <v>307</v>
      </c>
      <c r="B24" s="157" t="s">
        <v>425</v>
      </c>
    </row>
    <row r="25" spans="1:2" x14ac:dyDescent="0.25">
      <c r="A25" s="158" t="s">
        <v>308</v>
      </c>
      <c r="B25" s="175">
        <v>45565</v>
      </c>
    </row>
    <row r="26" spans="1:2" x14ac:dyDescent="0.25">
      <c r="A26" s="158" t="s">
        <v>309</v>
      </c>
      <c r="B26" s="160" t="s">
        <v>548</v>
      </c>
    </row>
    <row r="27" spans="1:2" x14ac:dyDescent="0.25">
      <c r="A27" s="160" t="str">
        <f>CONCATENATE("Стоимость проекта в прогнозных ценах, млн. руб. с НДС")</f>
        <v>Стоимость проекта в прогнозных ценах, млн. руб. с НДС</v>
      </c>
      <c r="B27" s="171">
        <v>24.920455999999998</v>
      </c>
    </row>
    <row r="28" spans="1:2" ht="93.75" customHeight="1" x14ac:dyDescent="0.25">
      <c r="A28" s="159" t="s">
        <v>310</v>
      </c>
      <c r="B28" s="162" t="s">
        <v>534</v>
      </c>
    </row>
    <row r="29" spans="1:2" ht="28.5" x14ac:dyDescent="0.25">
      <c r="A29" s="160" t="s">
        <v>311</v>
      </c>
      <c r="B29" s="171">
        <f>'7. Паспорт отчет о закупке'!$AB$26*1.2/1000</f>
        <v>33.632724000000003</v>
      </c>
    </row>
    <row r="30" spans="1:2" ht="28.5" x14ac:dyDescent="0.25">
      <c r="A30" s="160" t="s">
        <v>312</v>
      </c>
      <c r="B30" s="171">
        <f>'7. Паспорт отчет о закупке'!$AD$26/1000</f>
        <v>21.476723999999997</v>
      </c>
    </row>
    <row r="31" spans="1:2" x14ac:dyDescent="0.25">
      <c r="A31" s="159" t="s">
        <v>313</v>
      </c>
      <c r="B31" s="161"/>
    </row>
    <row r="32" spans="1:2" ht="28.5" x14ac:dyDescent="0.25">
      <c r="A32" s="160" t="s">
        <v>314</v>
      </c>
      <c r="B32" s="171">
        <f>SUM(SUMIF(B33,"&gt;0",B33),SUMIF(B37,"&gt;0",B37),SUMIF(B41,"&gt;0",B41),SUMIF(B45,"&gt;0",B45),SUMIF(B49,"&gt;0",B49),SUMIF(B53,"&gt;0",B53))</f>
        <v>16.6968</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e">
        <f>IF(VLOOKUP(2,'7. Паспорт отчет о закупке'!$A$27:$CD$86,52,0)="ИП",VLOOKUP(2,'7. Паспорт отчет о закупке'!$A$27:$CD$86,30,0)/1000,"нд")</f>
        <v>#VALUE!</v>
      </c>
    </row>
    <row r="38" spans="1:2" x14ac:dyDescent="0.25">
      <c r="A38" s="168" t="s">
        <v>315</v>
      </c>
      <c r="B38" s="161" t="e">
        <f>IF(B37="нд","нд",$B37/$B$27*100)</f>
        <v>#VALUE!</v>
      </c>
    </row>
    <row r="39" spans="1:2" x14ac:dyDescent="0.25">
      <c r="A39" s="168" t="s">
        <v>316</v>
      </c>
      <c r="B39" s="161">
        <f>IF(VLOOKUP(2,'7. Паспорт отчет о закупке'!$A$27:$CD$86,52,0)="ИП",VLOOKUP(2,'7. Паспорт отчет о закупке'!$A$27:$CD$86,51,0)/1000,"нд")</f>
        <v>5.34</v>
      </c>
    </row>
    <row r="40" spans="1:2" x14ac:dyDescent="0.25">
      <c r="A40" s="168" t="s">
        <v>437</v>
      </c>
      <c r="B40" s="161">
        <f>IF(VLOOKUP(2,'7. Паспорт отчет о закупке'!$A$27:$CD$86,52,0)="ИП",VLOOKUP(2,'7. Паспорт отчет о закупке'!$A$27:$CD$86,50,0)/1000,"нд")</f>
        <v>4.45</v>
      </c>
    </row>
    <row r="41" spans="1:2" ht="30" x14ac:dyDescent="0.25">
      <c r="A41" s="168" t="s">
        <v>433</v>
      </c>
      <c r="B41" s="161">
        <f>IF(VLOOKUP(3,'7. Паспорт отчет о закупке'!$A$27:$CD$86,52,0)="ИП",VLOOKUP(3,'7. Паспорт отчет о закупке'!$A$27:$CD$86,30,0)/1000,"нд")</f>
        <v>16.6968</v>
      </c>
    </row>
    <row r="42" spans="1:2" x14ac:dyDescent="0.25">
      <c r="A42" s="168" t="s">
        <v>315</v>
      </c>
      <c r="B42" s="161">
        <f>IF(B41="нд","нд",$B41/$B$27*100)</f>
        <v>67.000379126288863</v>
      </c>
    </row>
    <row r="43" spans="1:2" x14ac:dyDescent="0.25">
      <c r="A43" s="168" t="s">
        <v>316</v>
      </c>
      <c r="B43" s="161">
        <f>IF(VLOOKUP(3,'7. Паспорт отчет о закупке'!$A$27:$CD$86,52,0)="ИП",VLOOKUP(3,'7. Паспорт отчет о закупке'!$A$27:$CD$86,51,0)/1000,"нд")</f>
        <v>0</v>
      </c>
    </row>
    <row r="44" spans="1:2" x14ac:dyDescent="0.25">
      <c r="A44" s="168" t="s">
        <v>437</v>
      </c>
      <c r="B44" s="161">
        <f>IF(VLOOKUP(3,'7. Паспорт отчет о закупке'!$A$27:$CD$86,52,0)="ИП",VLOOKUP(3,'7. Паспорт отчет о закупке'!$A$27:$CD$86,50,0)/1000,"нд")</f>
        <v>0</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4.7799240000000003</v>
      </c>
    </row>
    <row r="58" spans="1:2" ht="30" x14ac:dyDescent="0.25">
      <c r="A58" s="168" t="s">
        <v>433</v>
      </c>
      <c r="B58" s="161">
        <f>IF(VLOOKUP(1,'7. Паспорт отчет о закупке'!$A$27:$CD$86,52,0)="ПД",VLOOKUP(1,'7. Паспорт отчет о закупке'!$A$27:$CD$86,30,0)/1000,"нд")</f>
        <v>4.7799240000000003</v>
      </c>
    </row>
    <row r="59" spans="1:2" x14ac:dyDescent="0.25">
      <c r="A59" s="168" t="s">
        <v>315</v>
      </c>
      <c r="B59" s="161">
        <f>IF(B58="нд","нд",$B58/$B$27*100)</f>
        <v>19.180724461863782</v>
      </c>
    </row>
    <row r="60" spans="1:2" x14ac:dyDescent="0.25">
      <c r="A60" s="168" t="s">
        <v>316</v>
      </c>
      <c r="B60" s="161">
        <f>IF(VLOOKUP(1,'7. Паспорт отчет о закупке'!$A$27:$CD$86,52,0)="ПД",VLOOKUP(1,'7. Паспорт отчет о закупке'!$A$27:$CD$86,51,0)/1000,"нд")</f>
        <v>4.7799240000000003</v>
      </c>
    </row>
    <row r="61" spans="1:2" x14ac:dyDescent="0.25">
      <c r="A61" s="168" t="s">
        <v>437</v>
      </c>
      <c r="B61" s="161">
        <f>IF(VLOOKUP(1,'7. Паспорт отчет о закупке'!$A$27:$CD$86,52,0)="ПД",VLOOKUP(1,'7. Паспорт отчет о закупке'!$A$27:$CD$86,50,0)/1000,"нд")</f>
        <v>3.9832700000000001</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19.180724461863782</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8.8059013434929057E-3</v>
      </c>
    </row>
    <row r="90" spans="1:7" x14ac:dyDescent="0.25">
      <c r="A90" s="158" t="s">
        <v>436</v>
      </c>
      <c r="B90" s="171">
        <f>IFERROR(SUM(B91*1.2/$B$27*100),0)</f>
        <v>4.439023106157821E-2</v>
      </c>
    </row>
    <row r="91" spans="1:7" x14ac:dyDescent="0.25">
      <c r="A91" s="158" t="s">
        <v>441</v>
      </c>
      <c r="B91" s="171">
        <f>'6.2. Паспорт фин осв ввод'!D34-'6.2. Паспорт фин осв ввод'!E34</f>
        <v>9.2185399999991091E-3</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ТМЦ, Поставка аппаратуры передачи сигналов, договор № ПД-24-00157 от 23.07.2024
АО "ИАЭС", СМР, Выполнение проектно-изыскательских,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договор № ИП-22-00041 от 05.03.2022
АКЦИОНЕРНОЕ ОБЩЕСТВО "ИНСТИТУТ АВТОМАТИЗАЦИИ ЭНЕРГЕТИЧЕСКИХ СИСТЕМ", СМР, ПНР, Выполнение строительно-монтажных и пуско-наладочных работ по проекту  "Реконструкция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 ВЛ 110 кВ Восточная – Барышевская I цепь с отпайкой на ПС Сады Гиганта и ВЛ 110 кВ Восточная – Барышевская II цепь. ", договор № ИП-24-00239 от 16.10.2024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аппаратуры передачи сигналов</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31.05.2024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zoomScale="55" zoomScaleSheetLayoutView="55" workbookViewId="0">
      <selection activeCell="G28" sqref="G2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M_00.0037.000037</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409.5" x14ac:dyDescent="0.2">
      <c r="A22" s="305" t="s">
        <v>63</v>
      </c>
      <c r="B22" s="306" t="s">
        <v>539</v>
      </c>
      <c r="C22" s="304" t="s">
        <v>551</v>
      </c>
      <c r="D22" s="304" t="s">
        <v>552</v>
      </c>
      <c r="E22" s="304" t="s">
        <v>425</v>
      </c>
      <c r="F22" s="304" t="s">
        <v>425</v>
      </c>
      <c r="G22" s="138" t="s">
        <v>373</v>
      </c>
      <c r="H22" s="139">
        <v>21.65</v>
      </c>
      <c r="I22" s="139" t="s">
        <v>425</v>
      </c>
      <c r="J22" s="139">
        <v>21.65</v>
      </c>
      <c r="K22" s="139">
        <v>110</v>
      </c>
      <c r="L22" s="139">
        <v>2</v>
      </c>
      <c r="M22" s="139" t="s">
        <v>425</v>
      </c>
      <c r="N22" s="139" t="s">
        <v>425</v>
      </c>
      <c r="O22" s="139" t="s">
        <v>425</v>
      </c>
      <c r="P22" s="139" t="s">
        <v>425</v>
      </c>
      <c r="Q22" s="140" t="s">
        <v>425</v>
      </c>
      <c r="R22" s="140" t="s">
        <v>550</v>
      </c>
      <c r="S22" s="139">
        <v>0.73675062000000002</v>
      </c>
      <c r="T22" s="26"/>
      <c r="U22" s="26"/>
      <c r="V22" s="26"/>
      <c r="W22" s="26"/>
      <c r="X22" s="26"/>
      <c r="Y22" s="26"/>
      <c r="Z22" s="25"/>
      <c r="AA22" s="25"/>
      <c r="AB22" s="25"/>
    </row>
    <row r="23" spans="1:28" s="2" customFormat="1" ht="18.75" x14ac:dyDescent="0.2">
      <c r="A23" s="305"/>
      <c r="B23" s="307"/>
      <c r="C23" s="304"/>
      <c r="D23" s="304"/>
      <c r="E23" s="304"/>
      <c r="F23" s="304"/>
      <c r="G23" s="141" t="s">
        <v>540</v>
      </c>
      <c r="H23" s="140">
        <v>21.65</v>
      </c>
      <c r="I23" s="140" t="s">
        <v>425</v>
      </c>
      <c r="J23" s="140">
        <v>21.65</v>
      </c>
      <c r="K23" s="140">
        <v>110</v>
      </c>
      <c r="L23" s="140">
        <v>2</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30" x14ac:dyDescent="0.2">
      <c r="A24" s="305"/>
      <c r="B24" s="308"/>
      <c r="C24" s="304"/>
      <c r="D24" s="304"/>
      <c r="E24" s="304"/>
      <c r="F24" s="304"/>
      <c r="G24" s="141" t="s">
        <v>541</v>
      </c>
      <c r="H24" s="140">
        <v>21.65</v>
      </c>
      <c r="I24" s="140" t="s">
        <v>425</v>
      </c>
      <c r="J24" s="140">
        <v>21.65</v>
      </c>
      <c r="K24" s="140">
        <v>110</v>
      </c>
      <c r="L24" s="140">
        <v>2</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21.65</v>
      </c>
      <c r="I25" s="140">
        <f>SUMIFS(I$22:I$24,$G$22:$G$24,"Всего по всем точкам присоединения, 
в том числе:")</f>
        <v>0</v>
      </c>
      <c r="J25" s="140">
        <f>SUMIFS(J$22:J$24,$G$22:$G$24,"Всего по всем точкам присоединения, 
в том числе:")</f>
        <v>21.65</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0.73675062000000002</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2:A24"/>
    <mergeCell ref="B22:B24"/>
    <mergeCell ref="C22:C24"/>
    <mergeCell ref="D22:D24"/>
    <mergeCell ref="E22:E24"/>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M_00.0037.000037</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M_00.0037.000037</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M_00.0037.000037</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M_00.0037.000037</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M_00.0037.000037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77.28515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18.75" x14ac:dyDescent="0.25">
      <c r="J1" s="34"/>
    </row>
    <row r="2" spans="1:42" ht="18.75" x14ac:dyDescent="0.3">
      <c r="J2" s="13"/>
    </row>
    <row r="3" spans="1:42" ht="18.75" x14ac:dyDescent="0.3">
      <c r="J3" s="13"/>
    </row>
    <row r="4" spans="1:42" ht="18.75"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x14ac:dyDescent="0.25">
      <c r="A12" s="432" t="str">
        <f>'1. паспорт местоположение'!$A$12</f>
        <v>M_00.0037.000037</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x14ac:dyDescent="0.25">
      <c r="A15" s="334" t="str">
        <f>'1. паспорт местоположение'!$A$15</f>
        <v>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18.75" x14ac:dyDescent="0.25">
      <c r="A19" s="433" t="s">
        <v>389</v>
      </c>
      <c r="B19" s="433"/>
      <c r="C19" s="433"/>
      <c r="D19" s="433"/>
      <c r="E19" s="433"/>
      <c r="F19" s="433"/>
      <c r="G19" s="433"/>
      <c r="H19" s="433"/>
      <c r="I19" s="433"/>
      <c r="J19" s="433"/>
    </row>
    <row r="20" spans="1:12" x14ac:dyDescent="0.25">
      <c r="A20" s="251"/>
      <c r="B20" s="251"/>
    </row>
    <row r="21" spans="1:12" x14ac:dyDescent="0.25">
      <c r="A21" s="429" t="s">
        <v>190</v>
      </c>
      <c r="B21" s="429" t="s">
        <v>189</v>
      </c>
      <c r="C21" s="434" t="s">
        <v>346</v>
      </c>
      <c r="D21" s="434"/>
      <c r="E21" s="434"/>
      <c r="F21" s="434"/>
      <c r="G21" s="429" t="s">
        <v>188</v>
      </c>
      <c r="H21" s="435" t="s">
        <v>348</v>
      </c>
      <c r="I21" s="429" t="s">
        <v>187</v>
      </c>
      <c r="J21" s="430" t="s">
        <v>347</v>
      </c>
    </row>
    <row r="22" spans="1:12"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ht="94.5" x14ac:dyDescent="0.25">
      <c r="A25" s="252">
        <v>1</v>
      </c>
      <c r="B25" s="254" t="s">
        <v>453</v>
      </c>
      <c r="C25" s="255">
        <v>44562</v>
      </c>
      <c r="D25" s="255">
        <v>45376</v>
      </c>
      <c r="E25" s="255">
        <v>44606</v>
      </c>
      <c r="F25" s="255">
        <v>45565</v>
      </c>
      <c r="G25" s="256">
        <v>1</v>
      </c>
      <c r="H25" s="256">
        <v>1</v>
      </c>
      <c r="I25" s="252" t="s">
        <v>565</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x14ac:dyDescent="0.25">
      <c r="A31" s="257" t="s">
        <v>464</v>
      </c>
      <c r="B31" s="258" t="s">
        <v>465</v>
      </c>
      <c r="C31" s="255">
        <v>44562</v>
      </c>
      <c r="D31" s="255">
        <v>44625</v>
      </c>
      <c r="E31" s="255">
        <v>44606</v>
      </c>
      <c r="F31" s="255">
        <v>44625</v>
      </c>
      <c r="G31" s="260">
        <v>1</v>
      </c>
      <c r="H31" s="260">
        <v>1</v>
      </c>
      <c r="I31" s="257">
        <v>0</v>
      </c>
      <c r="J31" s="257" t="s">
        <v>425</v>
      </c>
    </row>
    <row r="32" spans="1:12" ht="31.5" x14ac:dyDescent="0.25">
      <c r="A32" s="257" t="s">
        <v>466</v>
      </c>
      <c r="B32" s="258" t="s">
        <v>467</v>
      </c>
      <c r="C32" s="255">
        <v>44685</v>
      </c>
      <c r="D32" s="255">
        <v>44920</v>
      </c>
      <c r="E32" s="255">
        <v>45474</v>
      </c>
      <c r="F32" s="255">
        <v>45534</v>
      </c>
      <c r="G32" s="260" t="s">
        <v>562</v>
      </c>
      <c r="H32" s="260" t="s">
        <v>562</v>
      </c>
      <c r="I32" s="257" t="s">
        <v>566</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ht="31.5" x14ac:dyDescent="0.25">
      <c r="A35" s="257" t="s">
        <v>472</v>
      </c>
      <c r="B35" s="258" t="s">
        <v>473</v>
      </c>
      <c r="C35" s="255" t="s">
        <v>425</v>
      </c>
      <c r="D35" s="255" t="s">
        <v>425</v>
      </c>
      <c r="E35" s="255">
        <v>45565</v>
      </c>
      <c r="F35" s="255">
        <v>45565</v>
      </c>
      <c r="G35" s="260">
        <v>1</v>
      </c>
      <c r="H35" s="260">
        <v>1</v>
      </c>
      <c r="I35" s="257" t="s">
        <v>566</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ht="31.5" x14ac:dyDescent="0.25">
      <c r="A37" s="257" t="s">
        <v>476</v>
      </c>
      <c r="B37" s="258" t="s">
        <v>477</v>
      </c>
      <c r="C37" s="255">
        <v>44920</v>
      </c>
      <c r="D37" s="255">
        <v>45376</v>
      </c>
      <c r="E37" s="255">
        <v>45444</v>
      </c>
      <c r="F37" s="255">
        <v>45534</v>
      </c>
      <c r="G37" s="260" t="s">
        <v>562</v>
      </c>
      <c r="H37" s="260" t="s">
        <v>562</v>
      </c>
      <c r="I37" s="257" t="s">
        <v>566</v>
      </c>
      <c r="J37" s="257" t="s">
        <v>425</v>
      </c>
    </row>
    <row r="38" spans="1:10" ht="31.5" x14ac:dyDescent="0.25">
      <c r="A38" s="252">
        <v>2</v>
      </c>
      <c r="B38" s="254" t="s">
        <v>503</v>
      </c>
      <c r="C38" s="255" t="s">
        <v>425</v>
      </c>
      <c r="D38" s="255" t="s">
        <v>425</v>
      </c>
      <c r="E38" s="255" t="s">
        <v>425</v>
      </c>
      <c r="F38" s="255" t="s">
        <v>425</v>
      </c>
      <c r="G38" s="261">
        <v>1</v>
      </c>
      <c r="H38" s="261">
        <v>1</v>
      </c>
      <c r="I38" s="252" t="s">
        <v>566</v>
      </c>
      <c r="J38" s="252" t="s">
        <v>425</v>
      </c>
    </row>
    <row r="39" spans="1:10" ht="47.25" x14ac:dyDescent="0.25">
      <c r="A39" s="262" t="s">
        <v>478</v>
      </c>
      <c r="B39" s="258" t="s">
        <v>479</v>
      </c>
      <c r="C39" s="255">
        <v>44562</v>
      </c>
      <c r="D39" s="255">
        <v>44625</v>
      </c>
      <c r="E39" s="255">
        <v>44606</v>
      </c>
      <c r="F39" s="255">
        <v>45534</v>
      </c>
      <c r="G39" s="263" t="s">
        <v>562</v>
      </c>
      <c r="H39" s="263" t="s">
        <v>562</v>
      </c>
      <c r="I39" s="257" t="s">
        <v>567</v>
      </c>
      <c r="J39" s="257" t="s">
        <v>425</v>
      </c>
    </row>
    <row r="40" spans="1:10" ht="31.5" x14ac:dyDescent="0.25">
      <c r="A40" s="262" t="s">
        <v>480</v>
      </c>
      <c r="B40" s="258" t="s">
        <v>481</v>
      </c>
      <c r="C40" s="255" t="s">
        <v>425</v>
      </c>
      <c r="D40" s="255" t="s">
        <v>425</v>
      </c>
      <c r="E40" s="255">
        <v>45444</v>
      </c>
      <c r="F40" s="255">
        <v>45504</v>
      </c>
      <c r="G40" s="263" t="s">
        <v>562</v>
      </c>
      <c r="H40" s="263" t="s">
        <v>562</v>
      </c>
      <c r="I40" s="257" t="s">
        <v>566</v>
      </c>
      <c r="J40" s="257" t="s">
        <v>425</v>
      </c>
    </row>
    <row r="41" spans="1:10" ht="94.5" x14ac:dyDescent="0.25">
      <c r="A41" s="252">
        <v>3</v>
      </c>
      <c r="B41" s="254" t="s">
        <v>482</v>
      </c>
      <c r="C41" s="255">
        <v>45377</v>
      </c>
      <c r="D41" s="255">
        <v>45567</v>
      </c>
      <c r="E41" s="255">
        <v>45505</v>
      </c>
      <c r="F41" s="255">
        <v>45559</v>
      </c>
      <c r="G41" s="261">
        <v>0.78749999999999998</v>
      </c>
      <c r="H41" s="261">
        <v>0.78749999999999998</v>
      </c>
      <c r="I41" s="252" t="s">
        <v>568</v>
      </c>
      <c r="J41" s="252" t="s">
        <v>425</v>
      </c>
    </row>
    <row r="42" spans="1:10" ht="126" x14ac:dyDescent="0.25">
      <c r="A42" s="257" t="s">
        <v>483</v>
      </c>
      <c r="B42" s="258" t="s">
        <v>484</v>
      </c>
      <c r="C42" s="255">
        <v>45377</v>
      </c>
      <c r="D42" s="255">
        <v>45442</v>
      </c>
      <c r="E42" s="255">
        <v>45536</v>
      </c>
      <c r="F42" s="255">
        <v>45551</v>
      </c>
      <c r="G42" s="263" t="s">
        <v>562</v>
      </c>
      <c r="H42" s="263" t="s">
        <v>562</v>
      </c>
      <c r="I42" s="257" t="s">
        <v>569</v>
      </c>
      <c r="J42" s="257" t="s">
        <v>425</v>
      </c>
    </row>
    <row r="43" spans="1:10" ht="31.5" x14ac:dyDescent="0.25">
      <c r="A43" s="257" t="s">
        <v>485</v>
      </c>
      <c r="B43" s="258" t="s">
        <v>486</v>
      </c>
      <c r="C43" s="255" t="s">
        <v>425</v>
      </c>
      <c r="D43" s="255" t="s">
        <v>425</v>
      </c>
      <c r="E43" s="255">
        <v>45505</v>
      </c>
      <c r="F43" s="255">
        <v>45534</v>
      </c>
      <c r="G43" s="263" t="s">
        <v>562</v>
      </c>
      <c r="H43" s="263" t="s">
        <v>562</v>
      </c>
      <c r="I43" s="257" t="s">
        <v>566</v>
      </c>
      <c r="J43" s="257" t="s">
        <v>425</v>
      </c>
    </row>
    <row r="44" spans="1:10" ht="126" x14ac:dyDescent="0.25">
      <c r="A44" s="257" t="s">
        <v>487</v>
      </c>
      <c r="B44" s="258" t="s">
        <v>488</v>
      </c>
      <c r="C44" s="255" t="s">
        <v>425</v>
      </c>
      <c r="D44" s="255" t="s">
        <v>425</v>
      </c>
      <c r="E44" s="255">
        <v>45535</v>
      </c>
      <c r="F44" s="255">
        <v>45555</v>
      </c>
      <c r="G44" s="263" t="s">
        <v>562</v>
      </c>
      <c r="H44" s="263" t="s">
        <v>562</v>
      </c>
      <c r="I44" s="257" t="s">
        <v>569</v>
      </c>
      <c r="J44" s="257" t="s">
        <v>425</v>
      </c>
    </row>
    <row r="45" spans="1:10" ht="31.5" x14ac:dyDescent="0.25">
      <c r="A45" s="257" t="s">
        <v>489</v>
      </c>
      <c r="B45" s="258" t="s">
        <v>490</v>
      </c>
      <c r="C45" s="255" t="s">
        <v>425</v>
      </c>
      <c r="D45" s="255" t="s">
        <v>425</v>
      </c>
      <c r="E45" s="255" t="s">
        <v>425</v>
      </c>
      <c r="F45" s="255" t="s">
        <v>425</v>
      </c>
      <c r="G45" s="263" t="s">
        <v>425</v>
      </c>
      <c r="H45" s="263" t="s">
        <v>425</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ht="126" x14ac:dyDescent="0.25">
      <c r="A47" s="257" t="s">
        <v>493</v>
      </c>
      <c r="B47" s="258" t="s">
        <v>494</v>
      </c>
      <c r="C47" s="255">
        <v>45444</v>
      </c>
      <c r="D47" s="255">
        <v>45473</v>
      </c>
      <c r="E47" s="255">
        <v>45556</v>
      </c>
      <c r="F47" s="255">
        <v>45559</v>
      </c>
      <c r="G47" s="263" t="s">
        <v>563</v>
      </c>
      <c r="H47" s="263" t="s">
        <v>563</v>
      </c>
      <c r="I47" s="257" t="s">
        <v>569</v>
      </c>
      <c r="J47" s="257" t="s">
        <v>425</v>
      </c>
    </row>
    <row r="48" spans="1:10" ht="31.5" x14ac:dyDescent="0.25">
      <c r="A48" s="252">
        <v>4</v>
      </c>
      <c r="B48" s="254" t="s">
        <v>495</v>
      </c>
      <c r="C48" s="255">
        <v>45567</v>
      </c>
      <c r="D48" s="255">
        <v>45656</v>
      </c>
      <c r="E48" s="255">
        <v>45560</v>
      </c>
      <c r="F48" s="255">
        <v>45565</v>
      </c>
      <c r="G48" s="261">
        <v>0</v>
      </c>
      <c r="H48" s="261">
        <v>0</v>
      </c>
      <c r="I48" s="252" t="s">
        <v>566</v>
      </c>
      <c r="J48" s="252" t="s">
        <v>425</v>
      </c>
    </row>
    <row r="49" spans="1:10" ht="126" x14ac:dyDescent="0.25">
      <c r="A49" s="257" t="s">
        <v>496</v>
      </c>
      <c r="B49" s="258" t="s">
        <v>497</v>
      </c>
      <c r="C49" s="255">
        <v>45473</v>
      </c>
      <c r="D49" s="255">
        <v>45493</v>
      </c>
      <c r="E49" s="255">
        <v>45560</v>
      </c>
      <c r="F49" s="255">
        <v>45563</v>
      </c>
      <c r="G49" s="263" t="s">
        <v>564</v>
      </c>
      <c r="H49" s="263" t="s">
        <v>564</v>
      </c>
      <c r="I49" s="257" t="s">
        <v>569</v>
      </c>
      <c r="J49" s="257" t="s">
        <v>425</v>
      </c>
    </row>
    <row r="50" spans="1:10" ht="47.25" x14ac:dyDescent="0.25">
      <c r="A50" s="257" t="s">
        <v>498</v>
      </c>
      <c r="B50" s="258" t="s">
        <v>499</v>
      </c>
      <c r="C50" s="255" t="s">
        <v>425</v>
      </c>
      <c r="D50" s="255" t="s">
        <v>425</v>
      </c>
      <c r="E50" s="255" t="s">
        <v>425</v>
      </c>
      <c r="F50" s="255" t="s">
        <v>425</v>
      </c>
      <c r="G50" s="263" t="s">
        <v>425</v>
      </c>
      <c r="H50" s="263" t="s">
        <v>425</v>
      </c>
      <c r="I50" s="257">
        <v>0</v>
      </c>
      <c r="J50" s="257" t="s">
        <v>425</v>
      </c>
    </row>
    <row r="51" spans="1:10" ht="31.5" x14ac:dyDescent="0.25">
      <c r="A51" s="257" t="s">
        <v>500</v>
      </c>
      <c r="B51" s="258" t="s">
        <v>501</v>
      </c>
      <c r="C51" s="255" t="s">
        <v>425</v>
      </c>
      <c r="D51" s="255" t="s">
        <v>425</v>
      </c>
      <c r="E51" s="255" t="s">
        <v>425</v>
      </c>
      <c r="F51" s="255" t="s">
        <v>425</v>
      </c>
      <c r="G51" s="263" t="s">
        <v>425</v>
      </c>
      <c r="H51" s="263" t="s">
        <v>425</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ht="126" x14ac:dyDescent="0.25">
      <c r="A53" s="257" t="s">
        <v>504</v>
      </c>
      <c r="B53" s="264" t="s">
        <v>505</v>
      </c>
      <c r="C53" s="255">
        <v>45493</v>
      </c>
      <c r="D53" s="255">
        <v>45503</v>
      </c>
      <c r="E53" s="255">
        <v>45564</v>
      </c>
      <c r="F53" s="255">
        <v>45565</v>
      </c>
      <c r="G53" s="263" t="s">
        <v>564</v>
      </c>
      <c r="H53" s="263" t="s">
        <v>564</v>
      </c>
      <c r="I53" s="257" t="s">
        <v>569</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2024-11-14T09:40:48Z</dcterms:modified>
</cp:coreProperties>
</file>