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2679A10F-2DC8-4E82-9AE6-284283F758A9}"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<sst xmlns="http://schemas.openxmlformats.org/spreadsheetml/2006/main" count="4517" uniqueCount="556">
  <si>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</si>
  <si>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</si>
  <si>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</si>
  <si>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</si>
  <si>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</si>
  <si>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</si>
  <si>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</si>
  <si>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</si>
  <si>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</si>
  <si>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</si>
  <si>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</si>
  <si>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</si>
  <si>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</si>
  <si>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</si>
  <si>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</si>
  <si>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</si>
  <si>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</si>
  <si>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</si>
  <si>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</si>
  <si>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</si>
  <si>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</si>
  <si>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</si>
  <si>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</si>
  <si>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</si>
  <si>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</si>
  <si>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</si>
  <si>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</si>
  <si>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</si>
  <si>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</si>
  <si>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</si>
  <si>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</si>
  <si>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</si>
  <si>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</si>
  <si>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</si>
  <si>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</si>
  <si>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</si>
  <si>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</si>
  <si>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</si>
  <si>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</si>
  <si>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</si>
  <si>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</si>
  <si>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</si>
  <si>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</si>
  <si>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</si>
  <si>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</si>
  <si>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</si>
  <si>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</si>
  <si>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</si>
  <si>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</si>
  <si>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</si>
  <si>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</si>
  <si>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</si>
  <si>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</si>
  <si>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</si>
  <si>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</si>
  <si>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</si>
  <si>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</si>
  <si>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</si>
  <si>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</si>
  <si>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</si>
  <si>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</si>
  <si>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</si>
  <si>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</si>
  <si>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</si>
  <si>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</si>
  <si>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</si>
  <si>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</si>
  <si>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</si>
  <si>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</si>
  <si>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</si>
  <si>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</si>
  <si>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</si>
  <si>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</si>
  <si>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</si>
  <si>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</si>
  <si>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</si>
  <si>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</si>
  <si>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</si>
  <si>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</si>
  <si>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</si>
  <si>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</si>
  <si>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</si>
  <si>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</si>
  <si>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</si>
  <si>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</si>
  <si>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</si>
  <si>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</si>
  <si>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</si>
  <si>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</si>
  <si>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</si>
  <si>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</si>
  <si>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</si>
  <si>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</si>
  <si>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</si>
  <si>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</si>
  <si>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</si>
  <si>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</si>
  <si>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</si>
  <si>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</si>
  <si>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</si>
  <si>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</si>
  <si>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</si>
  <si>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</si>
  <si>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</si>
  <si>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</si>
  <si>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</si>
  <si>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</si>
  <si>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</si>
  <si>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</si>
  <si>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</si>
  <si>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</si>
  <si>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</si>
  <si>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</si>
  <si>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</si>
  <si>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</si>
  <si>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</si>
  <si>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</si>
  <si>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</si>
  <si>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</si>
  <si>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</si>
  <si>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</si>
  <si>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</si>
  <si>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</si>
  <si>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</si>
  <si>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</si>
  <si>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</si>
  <si>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</si>
  <si>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</si>
  <si>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</si>
  <si>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</si>
  <si>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</si>
  <si>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</si>
  <si>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</si>
  <si>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</si>
  <si>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</si>
  <si>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</si>
  <si>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</si>
  <si>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</si>
  <si>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</si>
  <si>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</si>
  <si>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</si>
  <si>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</si>
  <si>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</si>
  <si>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</si>
  <si>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</si>
  <si>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</si>
  <si>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</si>
  <si>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</si>
  <si>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</si>
  <si>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</si>
  <si>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</si>
  <si>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</si>
  <si>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</si>
  <si>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</si>
  <si>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</si>
  <si>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</si>
  <si>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</si>
  <si>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</si>
  <si>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</si>
  <si>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</si>
  <si>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</si>
  <si>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</si>
  <si>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</si>
  <si>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</si>
  <si>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</si>
  <si>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</si>
  <si>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</si>
  <si>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</si>
  <si>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</si>
  <si>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</si>
  <si>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</si>
  <si>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</si>
  <si>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</si>
  <si>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</si>
  <si>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</si>
  <si>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</si>
  <si>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</si>
  <si>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</si>
  <si>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</si>
  <si>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</si>
  <si>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</si>
  <si>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</si>
  <si>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</si>
  <si>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</si>
  <si>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</si>
  <si>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</si>
  <si>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</si>
  <si>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</si>
  <si>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</si>
  <si>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</si>
  <si>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</si>
  <si>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</si>
  <si>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</si>
  <si>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</si>
  <si>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</si>
  <si>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</si>
  <si>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</si>
  <si>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</si>
  <si>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</si>
  <si>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</si>
  <si>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</si>
  <si>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</si>
  <si>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</si>
  <si>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</si>
  <si>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</si>
  <si>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</si>
  <si>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</si>
  <si>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</si>
  <si>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</si>
  <si>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</si>
  <si>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</si>
  <si>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</si>
  <si>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</si>
  <si>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</si>
  <si>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</si>
  <si>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</si>
  <si>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</si>
  <si>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</si>
  <si>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</si>
  <si>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</si>
  <si>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</si>
  <si>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</si>
  <si>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</si>
  <si>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</si>
  <si>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</si>
  <si>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</si>
  <si>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</si>
  <si>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</si>
  <si>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</si>
  <si>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</si>
  <si>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</si>
  <si>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</si>
  <si>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</si>
  <si>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</si>
  <si>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</si>
  <si>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</si>
  <si>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</si>
  <si>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</si>
  <si>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</si>
  <si>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</si>
  <si>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</si>
  <si>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</si>
  <si>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</si>
  <si>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</si>
  <si>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</si>
  <si>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</si>
  <si>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</si>
  <si>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</si>
  <si>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</si>
  <si>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</si>
  <si>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</si>
  <si>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</si>
  <si>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</si>
  <si>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</si>
  <si>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</si>
  <si>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</si>
  <si>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</si>
  <si>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</si>
  <si>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</si>
  <si>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</si>
  <si>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</si>
  <si>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</si>
  <si>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</si>
  <si>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</si>
  <si>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</si>
  <si>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</si>
  <si>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</si>
  <si>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</si>
  <si>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</si>
  <si>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</si>
  <si>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</si>
  <si>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</si>
  <si>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</si>
  <si>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</si>
  <si>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</si>
  <si>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</si>
  <si>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</si>
  <si>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</si>
  <si>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</si>
  <si>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</si>
  <si>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</si>
  <si>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</si>
  <si>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</si>
  <si>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</si>
  <si>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</si>
  <si>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</si>
  <si>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</si>
  <si>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</si>
  <si>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</si>
  <si>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</si>
  <si>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</si>
  <si>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</si>
  <si>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</si>
  <si>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</si>
  <si>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</si>
  <si>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</si>
  <si>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</si>
  <si>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</si>
  <si>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</si>
  <si>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</si>
  <si>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</si>
  <si>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</si>
  <si>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</si>
  <si>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</si>
  <si>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</si>
  <si>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</si>
  <si>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</si>
  <si>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</si>
  <si>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</si>
  <si>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</si>
  <si>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</si>
  <si>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</si>
  <si>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</si>
  <si>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</si>
  <si>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</si>
  <si>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</si>
  <si>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</si>
  <si>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</si>
  <si>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</si>
  <si>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</si>
  <si>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</si>
  <si>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</si>
  <si>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</si>
  <si>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</si>
  <si>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</si>
  <si>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</si>
  <si>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</si>
  <si>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</si>
  <si>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</si>
  <si>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</si>
  <si>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</si>
  <si>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</si>
  <si>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</si>
  <si>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</si>
  <si>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</si>
  <si>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</si>
  <si>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</si>
  <si>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</si>
  <si>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</si>
  <si>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</si>
  <si>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</si>
  <si>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</si>
  <si>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</si>
  <si>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</si>
  <si>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</si>
  <si>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</si>
  <si>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</si>
  <si>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</si>
  <si>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</si>
  <si>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</si>
  <si>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</si>
  <si>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</si>
  <si>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</si>
  <si>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</si>
  <si>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</si>
  <si>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</si>
  <si>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</si>
  <si>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</si>
  <si>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</si>
  <si>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</si>
  <si>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</si>
  <si>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</si>
  <si>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</si>
  <si>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</si>
  <si>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</si>
  <si>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</si>
  <si>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</si>
  <si>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</si>
  <si>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</si>
  <si>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</si>
  <si>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</si>
  <si>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</si>
  <si>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</si>
  <si>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</si>
  <si>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</si>
  <si>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</si>
  <si>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</si>
  <si>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</si>
  <si>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</si>
  <si>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</si>
  <si>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</si>
  <si>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</si>
  <si>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</si>
  <si>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</si>
  <si>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</si>
  <si>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</si>
  <si>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</si>
  <si>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</si>
  <si>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</si>
  <si>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</si>
  <si>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</si>
  <si>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</si>
  <si>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</si>
  <si>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</si>
  <si>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</si>
  <si>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</si>
  <si>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</si>
  <si>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</si>
  <si>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</si>
  <si>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</si>
  <si>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</si>
  <si>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</si>
  <si>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</si>
  <si>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</si>
  <si>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</si>
  <si>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</si>
  <si>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</si>
  <si>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</si>
  <si>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</si>
  <si>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</si>
  <si>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</si>
  <si>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</si>
  <si>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</si>
  <si>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</si>
  <si>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</si>
  <si>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</si>
  <si>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</si>
  <si>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</si>
  <si>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</si>
  <si>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</si>
  <si>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</si>
  <si>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</si>
  <si>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</si>
  <si>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</si>
  <si>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</si>
  <si>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</si>
  <si>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</si>
  <si>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</si>
  <si>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</si>
  <si>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</si>
  <si>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</si>
  <si>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</si>
  <si>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</si>
  <si>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</si>
  <si>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</si>
  <si>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</si>
  <si>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</si>
  <si>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</si>
  <si>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</si>
  <si>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</si>
  <si>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</si>
  <si>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</si>
  <si>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</si>
  <si>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Техническое перевооружение системы телемеханики на ПС 220 кВ Строительная</t>
  </si>
  <si>
    <t>Утвержденный план</t>
  </si>
  <si>
    <t>Предложение по корректировке утвержденного плана</t>
  </si>
  <si>
    <t>по состоянию на 01.01.2024 года</t>
  </si>
  <si>
    <t>M_00.0035.000035</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</si>
  <si>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</si>
  <si>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</si>
  <si>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</si>
  <si>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</si>
  <si>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</si>
  <si>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</si>
  <si>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</si>
  <si>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</si>
  <si>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</si>
  <si>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</si>
  <si>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</si>
  <si>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</si>
  <si>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</si>
  <si>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</si>
  <si>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</si>
  <si>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</si>
  <si>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</si>
  <si>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</si>
  <si>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</si>
  <si>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</si>
  <si>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</si>
  <si>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</si>
  <si>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</si>
  <si>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</si>
  <si>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</si>
  <si>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</si>
  <si>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</si>
  <si>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</si>
  <si>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</si>
  <si>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</si>
  <si>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</si>
  <si>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</si>
  <si>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</si>
  <si>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</si>
  <si>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</si>
  <si>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</si>
  <si>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</si>
  <si>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</si>
  <si>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</si>
  <si>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</si>
  <si>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</si>
  <si>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</si>
  <si>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</si>
  <si>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</si>
  <si>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</si>
  <si>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</si>
  <si>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</si>
  <si>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</si>
  <si>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</si>
  <si>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</si>
  <si>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</si>
  <si>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</si>
  <si>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</si>
  <si>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</si>
  <si>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</si>
  <si>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</si>
  <si>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</si>
  <si>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</si>
  <si>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</si>
  <si>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</si>
  <si>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по причине одновременного выполнения работ с инвестиционным проектом 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</si>
  <si>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ПИР</t>
  </si>
  <si>
    <t xml:space="preserve"> Проектно-изыскательские работы по реконструкции системы телемеханики на ПС 220 кВ АО "Электромагистраль"</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</si>
  <si>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</si>
  <si>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</si>
  <si>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</si>
  <si>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</si>
  <si>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5499,23; 7 095,78; 7 000,00; 7 095,78; 5 960,46; 5 321,84; 6 882,97; 3 499,89</t>
  </si>
  <si>
    <t>-</t>
  </si>
  <si>
    <t>4582,69; 7 095,78; 6 000,00; 7 095,78; 5 960,46; 4 612,26; 6 745,25; 3 499,89</t>
  </si>
  <si>
    <t>Общество с ограниченной ответственностью "ИНЕРДЖИ"</t>
  </si>
  <si>
    <t>да</t>
  </si>
  <si>
    <t>https://www.roseltorg.ru/</t>
  </si>
  <si>
    <t>ИП</t>
  </si>
  <si>
    <t>ООО "Инерджи"</t>
  </si>
  <si>
    <t>ИП-19-00167 от 24.06.2019</t>
  </si>
  <si>
    <t>ТМЦ</t>
  </si>
  <si>
    <t>Поставка оборудования телемеханики</t>
  </si>
  <si>
    <t>Конкурс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</si>
  <si>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 ОБЩЕСТВО С ОГРАНИЧЕННОЙ ОТВЕТСТВЕННОСТЬЮ "ЭНЕРГОАВТОМАТИКА" ; ОБЩЕСТВО С ОГРАНИЧЕННОЙ ОТВЕТСТВЕННОСТЬЮ "А2 СИСТЕМ" </t>
  </si>
  <si>
    <t>77430; 87 142,63; 87 157,39; 87 229,86; 87 229,86</t>
  </si>
  <si>
    <t>- (наименование участника неизвестно)</t>
  </si>
  <si>
    <t>74 430,00; 81 989,89; 87 157,39; 87 229,86; 87 229,86</t>
  </si>
  <si>
    <t>ОБЩЕСТВО С ОГРАНИЧЕННОЙ ОТВЕТСТВЕННОСТЬЮ "ИНЖЕНЕРНЫЙ ЦЕНТР "ЭНЕРГОСЕРВИС"</t>
  </si>
  <si>
    <t>ПД</t>
  </si>
  <si>
    <t>ООО "Инженерный центр "Энергосервис"</t>
  </si>
  <si>
    <t>ПД-20-00201 от 09.09.2020</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</si>
  <si>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</si>
  <si>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</si>
  <si>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</si>
  <si>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780 от 02.11.2022; 
№ 780/1 от 11.09.2023</t>
  </si>
  <si>
    <t>г. Новосибирск</t>
  </si>
  <si>
    <t>не требуется</t>
  </si>
  <si>
    <t>не относится</t>
  </si>
  <si>
    <t>+</t>
  </si>
  <si>
    <t>26,02 МВА</t>
  </si>
  <si>
    <t xml:space="preserve">1. Обеспечение ускоренного внедрения цифровых технологий, формирование системы управления, координации и мониторинга цифровой трансформации топливно-энергетического комплекса, определенной энергетической стратегией России на период до 2035 года (утверждена распоряжением Правительства РФ от 09.06.2020 N 1523-р).
2.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3. Исполнение условий Соглашения о технологическом взаимодействии в целях обеспечения надежности функционирования ЕЭС России.
</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</si>
  <si>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</si>
  <si>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Строительная</t>
  </si>
  <si>
    <t>29783,67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</si>
  <si>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</si>
  <si>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2022-2026 гг.», утверждена 01.03.2022 заместителем генерального директора-главным инженером АО "Электромагистраль" - Берёзовым Ю.И., согласована:
заместителем генерального директора Филиала АО "СО ЕЭС" ОДУ Сибири - Шломовым М.В.; директором Филиала АО "СО ЕЭС" Новосибирское РДУ - Махиборода Д.В.</t>
  </si>
  <si>
    <t>С</t>
  </si>
  <si>
    <t>Сибирский Федеральный округ, Новосибирская область, г. Новосибирск</t>
  </si>
  <si>
    <t/>
  </si>
  <si>
    <t>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</si>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</sst>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535</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536</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539</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540</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540</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540</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540</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540</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541</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540</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540</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540</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542</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540</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29.783667070278444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1.5749999999999997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543</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21.218677120393355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M_00.0035.000035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Техническое перевооружение системы телемеханики на ПС 220 кВ Строительная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27.351175120393354</v>
      </c>
      <c r="D24" s="279">
        <f t="shared" si="0"/>
        <v>29.783667070278444</v>
      </c>
      <c r="E24" s="284">
        <f t="shared" si="0"/>
        <v>23.651169070278442</v>
      </c>
      <c r="F24" s="284">
        <f t="shared" si="0"/>
        <v>23.651169070278442</v>
      </c>
      <c r="G24" s="267">
        <f t="shared" si="0"/>
        <v>0</v>
      </c>
      <c r="H24" s="267">
        <f t="shared" si="0"/>
        <v>21.218677120393355</v>
      </c>
      <c r="I24" s="267" t="s">
        <v>425</v>
      </c>
      <c r="J24" s="279">
        <f t="shared" ref="J24:N24" si="1">J25+J26+J27+J32+J33</f>
        <v>23.651169070278442</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21.218677120393355</v>
      </c>
      <c r="AC24" s="284">
        <f>AC25+AC26+AC27+AC32+AC33</f>
        <v>23.651169070278442</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22.911319894571804</v>
      </c>
      <c r="D27" s="279">
        <v>24.877840572557361</v>
      </c>
      <c r="E27" s="285">
        <f>J27+N27+G27+P27+T27+X27</f>
        <v>19.767425572557357</v>
      </c>
      <c r="F27" s="285">
        <f t="shared" si="8"/>
        <v>19.767425572557357</v>
      </c>
      <c r="G27" s="267">
        <v>0</v>
      </c>
      <c r="H27" s="267">
        <f>SUM(H28:H31)</f>
        <v>17.800904894571804</v>
      </c>
      <c r="I27" s="267" t="s">
        <v>425</v>
      </c>
      <c r="J27" s="279">
        <f t="shared" ref="J27" si="9">SUM(J28:J31)</f>
        <v>19.767425572557357</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17.800904894571804</v>
      </c>
      <c r="AC27" s="284">
        <f>J27+N27+R27+V27+Z27</f>
        <v>19.767425572557357</v>
      </c>
    </row>
    <row r="28" spans="1:32" x14ac:dyDescent="0.25">
      <c r="A28" s="58" t="s">
        <v>426</v>
      </c>
      <c r="B28" s="42" t="s">
        <v>168</v>
      </c>
      <c r="C28" s="268" t="s">
        <v>425</v>
      </c>
      <c r="D28" s="281" t="s">
        <v>425</v>
      </c>
      <c r="E28" s="281" t="s">
        <v>425</v>
      </c>
      <c r="F28" s="281" t="s">
        <v>425</v>
      </c>
      <c r="G28" s="266" t="s">
        <v>425</v>
      </c>
      <c r="H28" s="266">
        <v>0</v>
      </c>
      <c r="I28" s="268" t="s">
        <v>552</v>
      </c>
      <c r="J28" s="280">
        <v>0</v>
      </c>
      <c r="K28" s="281" t="s">
        <v>552</v>
      </c>
      <c r="L28" s="266">
        <v>0</v>
      </c>
      <c r="M28" s="268" t="s">
        <v>552</v>
      </c>
      <c r="N28" s="280">
        <v>0</v>
      </c>
      <c r="O28" s="281" t="s">
        <v>552</v>
      </c>
      <c r="P28" s="154">
        <v>0</v>
      </c>
      <c r="Q28" s="154" t="s">
        <v>552</v>
      </c>
      <c r="R28" s="280">
        <v>0</v>
      </c>
      <c r="S28" s="281">
        <v>0</v>
      </c>
      <c r="T28" s="154">
        <v>0</v>
      </c>
      <c r="U28" s="154" t="s">
        <v>552</v>
      </c>
      <c r="V28" s="280">
        <v>0</v>
      </c>
      <c r="W28" s="281">
        <v>0</v>
      </c>
      <c r="X28" s="154">
        <v>0</v>
      </c>
      <c r="Y28" s="154" t="s">
        <v>552</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6.2310322910052101</v>
      </c>
      <c r="I29" s="268" t="s">
        <v>63</v>
      </c>
      <c r="J29" s="280">
        <v>6.6290578835068086</v>
      </c>
      <c r="K29" s="281" t="s">
        <v>59</v>
      </c>
      <c r="L29" s="266">
        <v>0</v>
      </c>
      <c r="M29" s="268" t="s">
        <v>552</v>
      </c>
      <c r="N29" s="280">
        <v>0</v>
      </c>
      <c r="O29" s="281" t="s">
        <v>552</v>
      </c>
      <c r="P29" s="154">
        <v>0</v>
      </c>
      <c r="Q29" s="288" t="s">
        <v>552</v>
      </c>
      <c r="R29" s="280">
        <v>0</v>
      </c>
      <c r="S29" s="281">
        <v>0</v>
      </c>
      <c r="T29" s="154">
        <v>0</v>
      </c>
      <c r="U29" s="154" t="s">
        <v>552</v>
      </c>
      <c r="V29" s="280">
        <v>0</v>
      </c>
      <c r="W29" s="281">
        <v>0</v>
      </c>
      <c r="X29" s="154">
        <v>0</v>
      </c>
      <c r="Y29" s="154" t="s">
        <v>552</v>
      </c>
      <c r="Z29" s="280">
        <v>0</v>
      </c>
      <c r="AA29" s="281">
        <v>0</v>
      </c>
      <c r="AB29" s="267">
        <f t="shared" si="17"/>
        <v>6.2310322910052101</v>
      </c>
      <c r="AC29" s="284">
        <f>J29+N29+R29+V29+Z29</f>
        <v>6.6290578835068086</v>
      </c>
      <c r="AD29" s="213"/>
      <c r="AE29" s="269"/>
    </row>
    <row r="30" spans="1:32" x14ac:dyDescent="0.25">
      <c r="A30" s="58" t="s">
        <v>428</v>
      </c>
      <c r="B30" s="42" t="s">
        <v>164</v>
      </c>
      <c r="C30" s="268" t="s">
        <v>425</v>
      </c>
      <c r="D30" s="281" t="s">
        <v>425</v>
      </c>
      <c r="E30" s="281" t="s">
        <v>425</v>
      </c>
      <c r="F30" s="281" t="s">
        <v>425</v>
      </c>
      <c r="G30" s="266" t="s">
        <v>425</v>
      </c>
      <c r="H30" s="266">
        <v>7.5584310156839631</v>
      </c>
      <c r="I30" s="268" t="s">
        <v>63</v>
      </c>
      <c r="J30" s="280">
        <v>8.8706834209450314</v>
      </c>
      <c r="K30" s="281" t="s">
        <v>59</v>
      </c>
      <c r="L30" s="266">
        <v>0</v>
      </c>
      <c r="M30" s="268" t="s">
        <v>552</v>
      </c>
      <c r="N30" s="280">
        <v>0</v>
      </c>
      <c r="O30" s="281" t="s">
        <v>552</v>
      </c>
      <c r="P30" s="154">
        <v>0</v>
      </c>
      <c r="Q30" s="154" t="s">
        <v>552</v>
      </c>
      <c r="R30" s="280">
        <v>0</v>
      </c>
      <c r="S30" s="281">
        <v>0</v>
      </c>
      <c r="T30" s="154">
        <v>0</v>
      </c>
      <c r="U30" s="154" t="s">
        <v>552</v>
      </c>
      <c r="V30" s="280">
        <v>0</v>
      </c>
      <c r="W30" s="281">
        <v>0</v>
      </c>
      <c r="X30" s="154">
        <v>0</v>
      </c>
      <c r="Y30" s="154" t="s">
        <v>552</v>
      </c>
      <c r="Z30" s="280">
        <v>0</v>
      </c>
      <c r="AA30" s="281">
        <v>0</v>
      </c>
      <c r="AB30" s="267">
        <f t="shared" si="17"/>
        <v>7.5584310156839631</v>
      </c>
      <c r="AC30" s="284">
        <f>J30+N30+R30+V30+Z30</f>
        <v>8.8706834209450314</v>
      </c>
      <c r="AD30" s="213"/>
      <c r="AE30" s="269"/>
    </row>
    <row r="31" spans="1:32" x14ac:dyDescent="0.25">
      <c r="A31" s="58" t="s">
        <v>429</v>
      </c>
      <c r="B31" s="42" t="s">
        <v>162</v>
      </c>
      <c r="C31" s="268" t="s">
        <v>425</v>
      </c>
      <c r="D31" s="281" t="s">
        <v>425</v>
      </c>
      <c r="E31" s="281" t="s">
        <v>425</v>
      </c>
      <c r="F31" s="281" t="s">
        <v>425</v>
      </c>
      <c r="G31" s="266" t="s">
        <v>425</v>
      </c>
      <c r="H31" s="266">
        <v>4.0114415878826311</v>
      </c>
      <c r="I31" s="268" t="s">
        <v>63</v>
      </c>
      <c r="J31" s="280">
        <v>4.2676842681055183</v>
      </c>
      <c r="K31" s="281" t="s">
        <v>553</v>
      </c>
      <c r="L31" s="266">
        <v>0</v>
      </c>
      <c r="M31" s="268" t="s">
        <v>552</v>
      </c>
      <c r="N31" s="280">
        <v>0</v>
      </c>
      <c r="O31" s="281" t="s">
        <v>552</v>
      </c>
      <c r="P31" s="154">
        <v>0</v>
      </c>
      <c r="Q31" s="154" t="s">
        <v>552</v>
      </c>
      <c r="R31" s="280">
        <v>0</v>
      </c>
      <c r="S31" s="281">
        <v>0</v>
      </c>
      <c r="T31" s="154">
        <v>0</v>
      </c>
      <c r="U31" s="154" t="s">
        <v>552</v>
      </c>
      <c r="V31" s="280">
        <v>0</v>
      </c>
      <c r="W31" s="281">
        <v>0</v>
      </c>
      <c r="X31" s="154">
        <v>0</v>
      </c>
      <c r="Y31" s="154" t="s">
        <v>552</v>
      </c>
      <c r="Z31" s="280">
        <v>0</v>
      </c>
      <c r="AA31" s="281">
        <v>0</v>
      </c>
      <c r="AB31" s="267">
        <f t="shared" si="17"/>
        <v>4.0114415878826311</v>
      </c>
      <c r="AC31" s="284">
        <f>J31+N31+R31+V31+Z31</f>
        <v>4.2676842681055183</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4.4398552258215496</v>
      </c>
      <c r="D33" s="280">
        <v>4.9058264977210824</v>
      </c>
      <c r="E33" s="285">
        <f>J33+N33+G33+P33+T33+X33</f>
        <v>3.8837434977210834</v>
      </c>
      <c r="F33" s="285">
        <f t="shared" ref="F33" si="18">E33-G33</f>
        <v>3.8837434977210834</v>
      </c>
      <c r="G33" s="266">
        <v>0</v>
      </c>
      <c r="H33" s="266">
        <v>3.4177722258215506</v>
      </c>
      <c r="I33" s="266" t="str">
        <f>I31</f>
        <v>1</v>
      </c>
      <c r="J33" s="280">
        <v>3.8837434977210834</v>
      </c>
      <c r="K33" s="280" t="str">
        <f>K31</f>
        <v>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3.4177722258215506</v>
      </c>
      <c r="AC33" s="280">
        <f>Z33+N33+J33+R33+V33</f>
        <v>3.8837434977210834</v>
      </c>
    </row>
    <row r="34" spans="1:30" ht="47.25" x14ac:dyDescent="0.25">
      <c r="A34" s="60" t="s">
        <v>61</v>
      </c>
      <c r="B34" s="59" t="s">
        <v>170</v>
      </c>
      <c r="C34" s="267">
        <f>SUM(C35:C38)</f>
        <v>22.911319894571804</v>
      </c>
      <c r="D34" s="279">
        <f t="shared" ref="D34:G34" si="19">SUM(D35:D38)</f>
        <v>24.946450833467907</v>
      </c>
      <c r="E34" s="285">
        <f t="shared" ref="E34" si="20">J34+N34+G34+P34+T34+X34</f>
        <v>19.836035833467911</v>
      </c>
      <c r="F34" s="279">
        <f t="shared" si="19"/>
        <v>19.836035833467911</v>
      </c>
      <c r="G34" s="267">
        <f t="shared" si="19"/>
        <v>0</v>
      </c>
      <c r="H34" s="267">
        <f>SUM(H35:H38)</f>
        <v>0</v>
      </c>
      <c r="I34" s="267" t="s">
        <v>425</v>
      </c>
      <c r="J34" s="279">
        <f t="shared" ref="J34" si="21">SUM(J35:J38)</f>
        <v>19.836035833467911</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19.836035833467911</v>
      </c>
      <c r="AD34" s="213"/>
    </row>
    <row r="35" spans="1:30" x14ac:dyDescent="0.25">
      <c r="A35" s="60" t="s">
        <v>169</v>
      </c>
      <c r="B35" s="42" t="s">
        <v>168</v>
      </c>
      <c r="C35" s="266">
        <v>0.66041499999999997</v>
      </c>
      <c r="D35" s="280">
        <v>0.66041499999999997</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6.1894916341163908</v>
      </c>
      <c r="D36" s="280">
        <v>6.6095678554597468</v>
      </c>
      <c r="E36" s="285">
        <f>J36+N36+G36+P36+T36+X36</f>
        <v>6.6095678554597468</v>
      </c>
      <c r="F36" s="285">
        <f t="shared" ref="F36:F37" si="30">E36-G36</f>
        <v>6.6095678554597468</v>
      </c>
      <c r="G36" s="266">
        <v>0</v>
      </c>
      <c r="H36" s="266">
        <v>0</v>
      </c>
      <c r="I36" s="266">
        <v>0</v>
      </c>
      <c r="J36" s="280">
        <v>6.6095678554597468</v>
      </c>
      <c r="K36" s="281" t="s">
        <v>59</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6.6095678554597468</v>
      </c>
    </row>
    <row r="37" spans="1:30" x14ac:dyDescent="0.25">
      <c r="A37" s="60" t="s">
        <v>165</v>
      </c>
      <c r="B37" s="42" t="s">
        <v>164</v>
      </c>
      <c r="C37" s="266">
        <v>11.958040939886478</v>
      </c>
      <c r="D37" s="280">
        <v>13.294602811647444</v>
      </c>
      <c r="E37" s="285">
        <f>J37+N37+G37+P37+T37+X37</f>
        <v>8.8446028116474444</v>
      </c>
      <c r="F37" s="285">
        <f t="shared" si="30"/>
        <v>8.8446028116474444</v>
      </c>
      <c r="G37" s="266">
        <v>0</v>
      </c>
      <c r="H37" s="266">
        <v>0</v>
      </c>
      <c r="I37" s="266">
        <v>0</v>
      </c>
      <c r="J37" s="280">
        <v>8.8446028116474444</v>
      </c>
      <c r="K37" s="281" t="s">
        <v>59</v>
      </c>
      <c r="L37" s="266">
        <v>0</v>
      </c>
      <c r="M37" s="266" t="s">
        <v>59</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8.8446028116474444</v>
      </c>
    </row>
    <row r="38" spans="1:30" x14ac:dyDescent="0.25">
      <c r="A38" s="60" t="s">
        <v>163</v>
      </c>
      <c r="B38" s="42" t="s">
        <v>162</v>
      </c>
      <c r="C38" s="266">
        <v>4.103372320568937</v>
      </c>
      <c r="D38" s="280">
        <v>4.3818651663607202</v>
      </c>
      <c r="E38" s="285">
        <f>J38+N38+G38+P38+T38+X38</f>
        <v>4.3818651663607193</v>
      </c>
      <c r="F38" s="285">
        <f>E38-G38</f>
        <v>4.3818651663607193</v>
      </c>
      <c r="G38" s="266">
        <v>0</v>
      </c>
      <c r="H38" s="266">
        <v>0</v>
      </c>
      <c r="I38" s="266">
        <v>0</v>
      </c>
      <c r="J38" s="280">
        <v>4.3818651663607193</v>
      </c>
      <c r="K38" s="281" t="s">
        <v>553</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4.3818651663607193</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1</v>
      </c>
      <c r="G46" s="266">
        <v>0</v>
      </c>
      <c r="H46" s="266">
        <v>0</v>
      </c>
      <c r="I46" s="268">
        <v>0</v>
      </c>
      <c r="J46" s="280">
        <v>1</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1</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1</v>
      </c>
      <c r="G54" s="266">
        <v>0</v>
      </c>
      <c r="H54" s="266">
        <v>0</v>
      </c>
      <c r="I54" s="268">
        <v>0</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22.911319894571804</v>
      </c>
      <c r="D56" s="280">
        <v>24.946450833467914</v>
      </c>
      <c r="E56" s="285">
        <f t="shared" ref="E56:E61" si="36">J56+N56+G56+P56+T56+X56</f>
        <v>24.946450833467914</v>
      </c>
      <c r="F56" s="280">
        <f t="shared" si="33"/>
        <v>24.946450833467914</v>
      </c>
      <c r="G56" s="266">
        <v>0</v>
      </c>
      <c r="H56" s="266">
        <v>0</v>
      </c>
      <c r="I56" s="268">
        <v>0</v>
      </c>
      <c r="J56" s="280">
        <v>24.946450833467914</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24.946450833467914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1</v>
      </c>
      <c r="G61" s="266">
        <v>0</v>
      </c>
      <c r="H61" s="266">
        <v>0</v>
      </c>
      <c r="I61" s="268">
        <v>0</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M_00.0035.000035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Техническое перевооружение системы телемеханики на ПС 220 кВ Строительная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554</v>
      </c>
      <c r="AY22" s="465" t="s">
        <v>555</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6397.9050436651878</v>
      </c>
      <c r="Q26" s="177" t="s">
        <v>425</v>
      </c>
      <c r="R26" s="179">
        <f>SUM(R27:R86)</f>
        <v>6397.9050436651878</v>
      </c>
      <c r="S26" s="177" t="s">
        <v>425</v>
      </c>
      <c r="T26" s="177" t="s">
        <v>425</v>
      </c>
      <c r="U26" s="177" t="s">
        <v>425</v>
      </c>
      <c r="V26" s="177" t="s">
        <v>425</v>
      </c>
      <c r="W26" s="177" t="s">
        <v>425</v>
      </c>
      <c r="X26" s="177" t="s">
        <v>425</v>
      </c>
      <c r="Y26" s="177" t="s">
        <v>425</v>
      </c>
      <c r="Z26" s="177" t="s">
        <v>425</v>
      </c>
      <c r="AA26" s="177" t="s">
        <v>425</v>
      </c>
      <c r="AB26" s="179">
        <f>SUM(AB27:AB86)</f>
        <v>5110.415</v>
      </c>
      <c r="AC26" s="177" t="s">
        <v>425</v>
      </c>
      <c r="AD26" s="179">
        <f>SUM(AD27:AD86)</f>
        <v>6132.4979999999996</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5110.415</v>
      </c>
      <c r="AY26" s="179">
        <f t="shared" si="46"/>
        <v>6132.4979999999996</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1182.6299999999999</v>
      </c>
      <c r="Q27" s="214" t="s">
        <v>512</v>
      </c>
      <c r="R27" s="215">
        <v>1182.6299999999999</v>
      </c>
      <c r="S27" s="214" t="s">
        <v>513</v>
      </c>
      <c r="T27" s="214" t="s">
        <v>513</v>
      </c>
      <c r="U27" s="214">
        <v>3</v>
      </c>
      <c r="V27" s="214">
        <v>8</v>
      </c>
      <c r="W27" s="214" t="s">
        <v>514</v>
      </c>
      <c r="X27" s="214" t="s">
        <v>515</v>
      </c>
      <c r="Y27" s="214" t="s">
        <v>516</v>
      </c>
      <c r="Z27" s="214">
        <v>1</v>
      </c>
      <c r="AA27" s="214" t="s">
        <v>517</v>
      </c>
      <c r="AB27" s="215">
        <v>660.41499999999996</v>
      </c>
      <c r="AC27" s="214" t="s">
        <v>518</v>
      </c>
      <c r="AD27" s="215">
        <v>792.49799999999993</v>
      </c>
      <c r="AE27" s="291">
        <f>IF(IFERROR(AD27-AY27,"нд")&lt;0,0,IFERROR(AD27-AY27,"нд"))</f>
        <v>0</v>
      </c>
      <c r="AF27" s="214">
        <v>31907796068</v>
      </c>
      <c r="AG27" s="214" t="s">
        <v>519</v>
      </c>
      <c r="AH27" s="214" t="s">
        <v>520</v>
      </c>
      <c r="AI27" s="216">
        <v>43585</v>
      </c>
      <c r="AJ27" s="216">
        <v>43592</v>
      </c>
      <c r="AK27" s="216">
        <v>43600</v>
      </c>
      <c r="AL27" s="216">
        <v>43612</v>
      </c>
      <c r="AM27" s="214" t="s">
        <v>425</v>
      </c>
      <c r="AN27" s="214" t="s">
        <v>425</v>
      </c>
      <c r="AO27" s="214" t="s">
        <v>425</v>
      </c>
      <c r="AP27" s="214" t="s">
        <v>425</v>
      </c>
      <c r="AQ27" s="216">
        <v>43632</v>
      </c>
      <c r="AR27" s="216">
        <v>43640</v>
      </c>
      <c r="AS27" s="216">
        <v>43632</v>
      </c>
      <c r="AT27" s="216">
        <v>43640</v>
      </c>
      <c r="AU27" s="216">
        <v>43819</v>
      </c>
      <c r="AV27" s="214" t="s">
        <v>425</v>
      </c>
      <c r="AW27" s="214" t="s">
        <v>425</v>
      </c>
      <c r="AX27" s="217">
        <v>660.41499999999996</v>
      </c>
      <c r="AY27" s="217">
        <v>792.49800000000005</v>
      </c>
      <c r="AZ27" s="215" t="s">
        <v>521</v>
      </c>
      <c r="BA27" s="215" t="s">
        <v>509</v>
      </c>
      <c r="BB27" s="215" t="s">
        <v>522</v>
      </c>
      <c r="BC27" s="215" t="s">
        <v>523</v>
      </c>
      <c r="BD27" s="215" t="str">
        <f>CONCATENATE(BB27,", ",BA27,", ",N27,", ","договор № ",BC27)</f>
        <v>ООО "Инерджи", ПИР,  Проектно-изыскательские работы по реконструкции системы телемеханики на ПС 220 кВ АО "Электромагистраль", договор № ИП-19-00167 от 24.06.2019</v>
      </c>
    </row>
    <row r="28" spans="1:56" s="218" customFormat="1" ht="123.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524</v>
      </c>
      <c r="N28" s="214" t="s">
        <v>525</v>
      </c>
      <c r="O28" s="214" t="s">
        <v>511</v>
      </c>
      <c r="P28" s="215">
        <v>5215.2750436651877</v>
      </c>
      <c r="Q28" s="214" t="s">
        <v>512</v>
      </c>
      <c r="R28" s="215">
        <v>5215.2750436651877</v>
      </c>
      <c r="S28" s="214" t="s">
        <v>526</v>
      </c>
      <c r="T28" s="214" t="s">
        <v>526</v>
      </c>
      <c r="U28" s="214">
        <v>7</v>
      </c>
      <c r="V28" s="214">
        <v>6</v>
      </c>
      <c r="W28" s="214" t="s">
        <v>527</v>
      </c>
      <c r="X28" s="214" t="s">
        <v>528</v>
      </c>
      <c r="Y28" s="214" t="s">
        <v>529</v>
      </c>
      <c r="Z28" s="214">
        <v>1</v>
      </c>
      <c r="AA28" s="214" t="s">
        <v>530</v>
      </c>
      <c r="AB28" s="215">
        <v>4450</v>
      </c>
      <c r="AC28" s="214" t="s">
        <v>531</v>
      </c>
      <c r="AD28" s="215">
        <v>5340</v>
      </c>
      <c r="AE28" s="291">
        <f t="shared" ref="AE28:AE86" si="49">IF(IFERROR(AD28-AY28,"нд")&lt;0,0,IFERROR(AD28-AY28,"нд"))</f>
        <v>0</v>
      </c>
      <c r="AF28" s="214">
        <v>32009320956</v>
      </c>
      <c r="AG28" s="214" t="s">
        <v>519</v>
      </c>
      <c r="AH28" s="214" t="s">
        <v>520</v>
      </c>
      <c r="AI28" s="216">
        <v>44043</v>
      </c>
      <c r="AJ28" s="216">
        <v>44042</v>
      </c>
      <c r="AK28" s="216">
        <v>44050</v>
      </c>
      <c r="AL28" s="216">
        <v>44067</v>
      </c>
      <c r="AM28" s="214" t="s">
        <v>425</v>
      </c>
      <c r="AN28" s="214" t="s">
        <v>425</v>
      </c>
      <c r="AO28" s="214" t="s">
        <v>425</v>
      </c>
      <c r="AP28" s="214" t="s">
        <v>425</v>
      </c>
      <c r="AQ28" s="216">
        <v>44087</v>
      </c>
      <c r="AR28" s="216">
        <v>44083</v>
      </c>
      <c r="AS28" s="216">
        <v>44087</v>
      </c>
      <c r="AT28" s="216">
        <v>44165</v>
      </c>
      <c r="AU28" s="216">
        <v>44193</v>
      </c>
      <c r="AV28" s="214" t="s">
        <v>425</v>
      </c>
      <c r="AW28" s="214" t="s">
        <v>425</v>
      </c>
      <c r="AX28" s="215">
        <v>4450</v>
      </c>
      <c r="AY28" s="215">
        <v>5340</v>
      </c>
      <c r="AZ28" s="215" t="s">
        <v>532</v>
      </c>
      <c r="BA28" s="215" t="s">
        <v>524</v>
      </c>
      <c r="BB28" s="215" t="s">
        <v>533</v>
      </c>
      <c r="BC28" s="215" t="s">
        <v>534</v>
      </c>
      <c r="BD28" s="215" t="str">
        <f t="shared" ref="BD28:BD86" si="50">CONCATENATE(BB28,", ",BA28,", ",N28,", ","договор № ",BC28)</f>
        <v>ООО "Инженерный центр "Энергосервис", ТМЦ, Поставка оборудования телемеханики, договор № ПД-20-00201 от 09.09.2020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M_00.0035.000035</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Техническое перевооружение системы телемеханики на ПС 220 кВ Строительная</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546</v>
      </c>
    </row>
    <row r="22" spans="1:2" x14ac:dyDescent="0.25">
      <c r="A22" s="157" t="s">
        <v>306</v>
      </c>
      <c r="B22" s="157" t="s">
        <v>551</v>
      </c>
    </row>
    <row r="23" spans="1:2" x14ac:dyDescent="0.25">
      <c r="A23" s="157" t="s">
        <v>288</v>
      </c>
      <c r="B23" s="157" t="s">
        <v>537</v>
      </c>
    </row>
    <row r="24" spans="1:2" x14ac:dyDescent="0.25">
      <c r="A24" s="157" t="s">
        <v>307</v>
      </c>
      <c r="B24" s="157" t="s">
        <v>425</v>
      </c>
    </row>
    <row r="25" spans="1:2" x14ac:dyDescent="0.25">
      <c r="A25" s="158" t="s">
        <v>308</v>
      </c>
      <c r="B25" s="175">
        <v>46021</v>
      </c>
    </row>
    <row r="26" spans="1:2" x14ac:dyDescent="0.25">
      <c r="A26" s="158" t="s">
        <v>309</v>
      </c>
      <c r="B26" s="160" t="s">
        <v>550</v>
      </c>
    </row>
    <row r="27" spans="1:2" x14ac:dyDescent="0.25">
      <c r="A27" s="160" t="str">
        <f>CONCATENATE("Стоимость проекта в прогнозных ценах, млн. руб. с НДС")</f>
        <v>Стоимость проекта в прогнозных ценах, млн. руб. с НДС</v>
      </c>
      <c r="B27" s="171">
        <v>29.783667070278444</v>
      </c>
    </row>
    <row r="28" spans="1:2" ht="93.75" customHeight="1" x14ac:dyDescent="0.25">
      <c r="A28" s="159" t="s">
        <v>310</v>
      </c>
      <c r="B28" s="162" t="s">
        <v>538</v>
      </c>
    </row>
    <row r="29" spans="1:2" ht="28.5" x14ac:dyDescent="0.25">
      <c r="A29" s="160" t="s">
        <v>311</v>
      </c>
      <c r="B29" s="171">
        <f>'7. Паспорт отчет о закупке'!$AB$26*1.2/1000</f>
        <v>6.132498</v>
      </c>
    </row>
    <row r="30" spans="1:2" ht="28.5" x14ac:dyDescent="0.25">
      <c r="A30" s="160" t="s">
        <v>312</v>
      </c>
      <c r="B30" s="171">
        <f>'7. Паспорт отчет о закупке'!$AD$26/1000</f>
        <v>6.132498</v>
      </c>
    </row>
    <row r="31" spans="1:2" x14ac:dyDescent="0.25">
      <c r="A31" s="159" t="s">
        <v>313</v>
      </c>
      <c r="B31" s="161"/>
    </row>
    <row r="32" spans="1:2" ht="28.5" x14ac:dyDescent="0.25">
      <c r="A32" s="160" t="s">
        <v>314</v>
      </c>
      <c r="B32" s="171">
        <f>SUM(SUMIF(B33,"&gt;0",B33),SUMIF(B37,"&gt;0",B37),SUMIF(B41,"&gt;0",B41),SUMIF(B45,"&gt;0",B45),SUMIF(B49,"&gt;0",B49),SUMIF(B53,"&gt;0",B53))</f>
        <v>0.79249799999999992</v>
      </c>
    </row>
    <row r="33" spans="1:2" ht="30" x14ac:dyDescent="0.25">
      <c r="A33" s="168" t="s">
        <v>433</v>
      </c>
      <c r="B33" s="161">
        <f>IFERROR(IF(VLOOKUP(1,'7. Паспорт отчет о закупке'!$A$27:$CD$86,52,0)="ИП",VLOOKUP(1,'7. Паспорт отчет о закупке'!$A$27:$CD$86,30,0)/1000,"нд"),"нд")</f>
        <v>0.79249799999999992</v>
      </c>
    </row>
    <row r="34" spans="1:2" x14ac:dyDescent="0.25">
      <c r="A34" s="168" t="s">
        <v>315</v>
      </c>
      <c r="B34" s="161">
        <f>IF(B33="нд","нд",$B33/$B$27*100)</f>
        <v>2.6608476321266874</v>
      </c>
    </row>
    <row r="35" spans="1:2" x14ac:dyDescent="0.25">
      <c r="A35" s="168" t="s">
        <v>316</v>
      </c>
      <c r="B35" s="161">
        <f>IF(VLOOKUP(1,'7. Паспорт отчет о закупке'!$A$27:$CD$86,52,0)="ИП",VLOOKUP(1,'7. Паспорт отчет о закупке'!$A$27:$CD$86,51,0)/1000,"нд")</f>
        <v>0.79249800000000004</v>
      </c>
    </row>
    <row r="36" spans="1:2" x14ac:dyDescent="0.25">
      <c r="A36" s="168" t="s">
        <v>437</v>
      </c>
      <c r="B36" s="161">
        <f>IF(VLOOKUP(1,'7. Паспорт отчет о закупке'!$A$27:$CD$86,52,0)="ИП",VLOOKUP(1,'7. Паспорт отчет о закупке'!$A$27:$CD$86,50,0)/1000,"нд")</f>
        <v>0.66041499999999997</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5.34</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f>IF(VLOOKUP(2,'7. Паспорт отчет о закупке'!$A$27:$CD$86,52,0)="ПД",VLOOKUP(2,'7. Паспорт отчет о закупке'!$A$27:$CD$86,30,0)/1000,"нд")</f>
        <v>5.34</v>
      </c>
    </row>
    <row r="63" spans="1:2" x14ac:dyDescent="0.25">
      <c r="A63" s="168" t="s">
        <v>315</v>
      </c>
      <c r="B63" s="161">
        <f>IF(B62="нд","нд",$B62/$B$27*100)</f>
        <v>17.92928986010881</v>
      </c>
    </row>
    <row r="64" spans="1:2" x14ac:dyDescent="0.25">
      <c r="A64" s="168" t="s">
        <v>316</v>
      </c>
      <c r="B64" s="161">
        <f>IF(VLOOKUP(2,'7. Паспорт отчет о закупке'!$A$27:$CD$86,52,0)="ПД",VLOOKUP(2,'7. Паспорт отчет о закупке'!$A$27:$CD$86,51,0)/1000,"нд")</f>
        <v>5.34</v>
      </c>
    </row>
    <row r="65" spans="1:2" x14ac:dyDescent="0.25">
      <c r="A65" s="168" t="s">
        <v>437</v>
      </c>
      <c r="B65" s="161">
        <f>IF(VLOOKUP(2,'7. Паспорт отчет о закупке'!$A$27:$CD$86,52,0)="ПД",VLOOKUP(2,'7. Паспорт отчет о закупке'!$A$27:$CD$86,50,0)/1000,"нд")</f>
        <v>4.45</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17.92928986010881</v>
      </c>
      <c r="C86" s="194"/>
      <c r="D86" s="195"/>
      <c r="E86" s="194"/>
      <c r="F86" s="194"/>
      <c r="G86" s="194"/>
    </row>
    <row r="87" spans="1:7" x14ac:dyDescent="0.25">
      <c r="A87" s="163" t="s">
        <v>322</v>
      </c>
      <c r="B87" s="166">
        <f>SUMIF('7. Паспорт отчет о закупке'!$BA$27:$BA$86,"ПИР",'7. Паспорт отчет о закупке'!$AD$27:$AD$86)/1000/$B$27*100</f>
        <v>2.6608476321266874</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6.1324980000000018</v>
      </c>
    </row>
    <row r="90" spans="1:7" x14ac:dyDescent="0.25">
      <c r="A90" s="158" t="s">
        <v>436</v>
      </c>
      <c r="B90" s="171">
        <f>IFERROR(SUM(B91*1.2/$B$27*100),0)</f>
        <v>20.590137492235485</v>
      </c>
    </row>
    <row r="91" spans="1:7" x14ac:dyDescent="0.25">
      <c r="A91" s="158" t="s">
        <v>441</v>
      </c>
      <c r="B91" s="171">
        <f>'6.2. Паспорт фин осв ввод'!D34-'6.2. Паспорт фин осв ввод'!E34</f>
        <v>5.1104149999999962</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"Инерджи", ПИР,  Проектно-изыскательские работы по реконструкции системы телемеханики на ПС 220 кВ АО "Электромагистраль", договор № ИП-19-00167 от 24.06.2019
ООО "Инженерный центр "Энергосервис", ТМЦ, Поставка оборудования телемеханики, договор № ПД-20-00201 от 09.09.2020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M_00.0035.000035</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Техническое перевооружение системы телемеханики на ПС 220 кВ Строительная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M_00.0035.000035</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Техническое перевооружение системы телемеханики на ПС 220 кВ Строительная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Техническое перевооружение системы телемеханики на ПС 220 кВ Строительная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M_00.0035.000035</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Техническое перевооружение системы телемеханики на ПС 220 кВ Строительная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548</v>
      </c>
      <c r="D26" s="21"/>
      <c r="E26" s="21"/>
      <c r="F26" s="21"/>
      <c r="G26" s="21"/>
      <c r="H26" s="21"/>
      <c r="I26" s="21"/>
      <c r="J26" s="21"/>
      <c r="K26" s="21"/>
      <c r="L26" s="21"/>
      <c r="M26" s="21"/>
      <c r="N26" s="21"/>
      <c r="O26" s="21"/>
      <c r="P26" s="21"/>
      <c r="Q26" s="21"/>
      <c r="R26" s="21"/>
      <c r="S26" s="21"/>
      <c r="T26" s="21"/>
      <c r="U26" s="21"/>
    </row>
    <row r="27" spans="1:21" ht="216.75" customHeight="1" x14ac:dyDescent="0.25">
      <c r="A27" s="22" t="s">
        <v>56</v>
      </c>
      <c r="B27" s="24" t="s">
        <v>392</v>
      </c>
      <c r="C27" s="28" t="s">
        <v>549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M_00.0035.000035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Техническое перевооружение системы телемеханики на ПС 220 кВ Строительная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M_00.0035.000035</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Техническое перевооружение системы телемеханики на ПС 220 кВ Строительная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M_00.0035.000035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Техническое перевооружение системы телемеханики на ПС 220 кВ Строительная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19" sqref="A19:J19"/>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M_00.0035.000035</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Техническое перевооружение системы телемеханики на ПС 220 кВ Строительная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43819</v>
      </c>
      <c r="E25" s="255">
        <v>43466</v>
      </c>
      <c r="F25" s="255">
        <v>45180</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43466</v>
      </c>
      <c r="D31" s="255">
        <v>43640</v>
      </c>
      <c r="E31" s="255">
        <v>43466</v>
      </c>
      <c r="F31" s="255">
        <v>43640</v>
      </c>
      <c r="G31" s="260">
        <v>1</v>
      </c>
      <c r="H31" s="260">
        <v>1</v>
      </c>
      <c r="I31" s="257" t="s">
        <v>425</v>
      </c>
      <c r="J31" s="257" t="s">
        <v>425</v>
      </c>
    </row>
    <row r="32" spans="1:12" x14ac:dyDescent="0.25">
      <c r="A32" s="257" t="s">
        <v>466</v>
      </c>
      <c r="B32" s="258" t="s">
        <v>467</v>
      </c>
      <c r="C32" s="255">
        <v>43760</v>
      </c>
      <c r="D32" s="255">
        <v>43819</v>
      </c>
      <c r="E32" s="255">
        <v>43760</v>
      </c>
      <c r="F32" s="255">
        <v>43819</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v>44867</v>
      </c>
      <c r="F35" s="255">
        <v>45180</v>
      </c>
      <c r="G35" s="260">
        <v>1</v>
      </c>
      <c r="H35" s="260">
        <v>1</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43760</v>
      </c>
      <c r="D37" s="255">
        <v>43819</v>
      </c>
      <c r="E37" s="255">
        <v>43760</v>
      </c>
      <c r="F37" s="255">
        <v>43819</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44927</v>
      </c>
      <c r="D39" s="255">
        <v>45322</v>
      </c>
      <c r="E39" s="255">
        <v>45717</v>
      </c>
      <c r="F39" s="255">
        <v>45777</v>
      </c>
      <c r="G39" s="263" t="s">
        <v>425</v>
      </c>
      <c r="H39" s="263" t="s">
        <v>425</v>
      </c>
      <c r="I39" s="257" t="s">
        <v>425</v>
      </c>
      <c r="J39" s="257" t="s">
        <v>425</v>
      </c>
    </row>
    <row r="40" spans="1:10" x14ac:dyDescent="0.25">
      <c r="A40" s="262" t="s">
        <v>480</v>
      </c>
      <c r="B40" s="258" t="s">
        <v>481</v>
      </c>
      <c r="C40" s="255">
        <v>44042</v>
      </c>
      <c r="D40" s="255">
        <v>44067</v>
      </c>
      <c r="E40" s="255">
        <v>44042</v>
      </c>
      <c r="F40" s="255">
        <v>44067</v>
      </c>
      <c r="G40" s="263">
        <v>1</v>
      </c>
      <c r="H40" s="263">
        <v>1</v>
      </c>
      <c r="I40" s="257" t="s">
        <v>425</v>
      </c>
      <c r="J40" s="257" t="s">
        <v>425</v>
      </c>
    </row>
    <row r="41" spans="1:10" x14ac:dyDescent="0.25">
      <c r="A41" s="252">
        <v>3</v>
      </c>
      <c r="B41" s="254" t="s">
        <v>482</v>
      </c>
      <c r="C41" s="255">
        <v>44067</v>
      </c>
      <c r="D41" s="255">
        <v>45593</v>
      </c>
      <c r="E41" s="255">
        <v>44067</v>
      </c>
      <c r="F41" s="255">
        <v>46015</v>
      </c>
      <c r="G41" s="261">
        <v>1</v>
      </c>
      <c r="H41" s="261">
        <v>1</v>
      </c>
      <c r="I41" s="252" t="s">
        <v>425</v>
      </c>
      <c r="J41" s="252" t="s">
        <v>425</v>
      </c>
    </row>
    <row r="42" spans="1:10" x14ac:dyDescent="0.25">
      <c r="A42" s="257" t="s">
        <v>483</v>
      </c>
      <c r="B42" s="258" t="s">
        <v>484</v>
      </c>
      <c r="C42" s="255">
        <v>45383</v>
      </c>
      <c r="D42" s="255">
        <v>45413</v>
      </c>
      <c r="E42" s="255">
        <v>45778</v>
      </c>
      <c r="F42" s="255">
        <v>45899</v>
      </c>
      <c r="G42" s="263" t="s">
        <v>425</v>
      </c>
      <c r="H42" s="263" t="s">
        <v>425</v>
      </c>
      <c r="I42" s="257" t="s">
        <v>425</v>
      </c>
      <c r="J42" s="257" t="s">
        <v>425</v>
      </c>
    </row>
    <row r="43" spans="1:10" x14ac:dyDescent="0.25">
      <c r="A43" s="257" t="s">
        <v>485</v>
      </c>
      <c r="B43" s="258" t="s">
        <v>486</v>
      </c>
      <c r="C43" s="255">
        <v>44067</v>
      </c>
      <c r="D43" s="255">
        <v>44159</v>
      </c>
      <c r="E43" s="255">
        <v>44067</v>
      </c>
      <c r="F43" s="255">
        <v>44159</v>
      </c>
      <c r="G43" s="263">
        <v>1</v>
      </c>
      <c r="H43" s="263">
        <v>1</v>
      </c>
      <c r="I43" s="257" t="s">
        <v>425</v>
      </c>
      <c r="J43" s="257" t="s">
        <v>425</v>
      </c>
    </row>
    <row r="44" spans="1:10" x14ac:dyDescent="0.25">
      <c r="A44" s="257" t="s">
        <v>487</v>
      </c>
      <c r="B44" s="258" t="s">
        <v>488</v>
      </c>
      <c r="C44" s="255">
        <v>45413</v>
      </c>
      <c r="D44" s="255">
        <v>45533</v>
      </c>
      <c r="E44" s="255">
        <v>45808</v>
      </c>
      <c r="F44" s="255">
        <v>45984</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45533</v>
      </c>
      <c r="D47" s="255">
        <v>45593</v>
      </c>
      <c r="E47" s="255">
        <v>45985</v>
      </c>
      <c r="F47" s="255">
        <v>46015</v>
      </c>
      <c r="G47" s="263" t="s">
        <v>425</v>
      </c>
      <c r="H47" s="263" t="s">
        <v>425</v>
      </c>
      <c r="I47" s="257" t="s">
        <v>425</v>
      </c>
      <c r="J47" s="257" t="s">
        <v>425</v>
      </c>
    </row>
    <row r="48" spans="1:10" x14ac:dyDescent="0.25">
      <c r="A48" s="252">
        <v>4</v>
      </c>
      <c r="B48" s="254" t="s">
        <v>495</v>
      </c>
      <c r="C48" s="255">
        <v>45593</v>
      </c>
      <c r="D48" s="255">
        <v>45656</v>
      </c>
      <c r="E48" s="255">
        <v>46016</v>
      </c>
      <c r="F48" s="255">
        <v>46021</v>
      </c>
      <c r="G48" s="261" t="s">
        <v>425</v>
      </c>
      <c r="H48" s="261" t="s">
        <v>425</v>
      </c>
      <c r="I48" s="252" t="s">
        <v>425</v>
      </c>
      <c r="J48" s="252" t="s">
        <v>425</v>
      </c>
    </row>
    <row r="49" spans="1:10" x14ac:dyDescent="0.25">
      <c r="A49" s="257" t="s">
        <v>496</v>
      </c>
      <c r="B49" s="258" t="s">
        <v>497</v>
      </c>
      <c r="C49" s="255">
        <v>45593</v>
      </c>
      <c r="D49" s="255">
        <v>45596</v>
      </c>
      <c r="E49" s="255">
        <v>46016</v>
      </c>
      <c r="F49" s="255">
        <v>46019</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45627</v>
      </c>
      <c r="D53" s="255">
        <v>45656</v>
      </c>
      <c r="E53" s="255">
        <v>46020</v>
      </c>
      <c r="F53" s="255">
        <v>46021</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2024-11-14T09:40:20Z</dcterms:modified>
</cp:coreProperties>
</file>