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30629618-6942-48EA-B740-525FFF5AC9E1}"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ТП'!$A$21:$AB$25</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ТП'!$A$1:$S$25</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25" i="12" l="1"/>
  <c r="I25" i="12"/>
  <c r="P25" i="12"/>
  <c r="H25" i="12"/>
  <c r="M25" i="12"/>
  <c r="Q25" i="12"/>
  <c r="O25" i="12"/>
  <c r="N25" i="12"/>
  <c r="R25" i="12"/>
  <c r="S25" i="12"/>
  <c r="J27" i="15" l="1"/>
  <c r="E27" i="15" s="1"/>
  <c r="N24" i="15"/>
  <c r="AC27" i="15" l="1"/>
  <c r="AC24" i="15" s="1"/>
  <c r="F27" i="15"/>
  <c r="J24" i="15"/>
  <c r="E24" i="15" l="1"/>
  <c r="B89" i="22" s="1"/>
  <c r="F24" i="15"/>
  <c r="AB29" i="15" l="1"/>
  <c r="AB24" i="15" l="1"/>
  <c r="C48" i="7" s="1"/>
  <c r="H27" i="5" l="1"/>
  <c r="AE39" i="5"/>
  <c r="B27" i="5"/>
  <c r="C27" i="5"/>
  <c r="AE82" i="5"/>
  <c r="AE85" i="5"/>
  <c r="AE73" i="5"/>
  <c r="AE72"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27" i="5" l="1"/>
  <c r="AE80" i="5"/>
  <c r="AE70" i="5"/>
  <c r="AE37" i="5"/>
  <c r="AE51" i="5"/>
  <c r="AE74" i="5"/>
  <c r="AE84" i="5"/>
  <c r="AE46" i="5"/>
  <c r="AE38" i="5"/>
  <c r="AE44" i="5"/>
  <c r="AE36" i="5"/>
  <c r="AE41" i="5"/>
  <c r="AE29" i="5"/>
  <c r="AE42" i="5"/>
  <c r="AE34"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<sst xmlns="http://schemas.openxmlformats.org/spreadsheetml/2006/main" count="4212" uniqueCount="590">
  <si>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</si>
  <si>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</si>
  <si>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</si>
  <si>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</si>
  <si>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</si>
  <si>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</si>
  <si>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</si>
  <si>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</si>
  <si>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</si>
  <si>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</si>
  <si>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</si>
  <si>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</si>
  <si>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</si>
  <si>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</si>
  <si>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</si>
  <si>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</si>
  <si>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</si>
  <si>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</si>
  <si>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</si>
  <si>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</si>
  <si>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</si>
  <si>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</si>
  <si>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</si>
  <si>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</si>
  <si>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</si>
  <si>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</si>
  <si>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</si>
  <si>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</si>
  <si>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</si>
  <si>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</si>
  <si>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</si>
  <si>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</si>
  <si>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</si>
  <si>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</si>
  <si>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</si>
  <si>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</si>
  <si>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</si>
  <si>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</si>
  <si>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</si>
  <si>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</si>
  <si>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</si>
  <si>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</si>
  <si>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</si>
  <si>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</si>
  <si>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</si>
  <si>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</si>
  <si>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</si>
  <si>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</si>
  <si>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</si>
  <si>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</si>
  <si>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</si>
  <si>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</si>
  <si>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</si>
  <si>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</si>
  <si>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</si>
  <si>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</si>
  <si>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</si>
  <si>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</si>
  <si>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</si>
  <si>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</si>
  <si>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</si>
  <si>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</si>
  <si>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</si>
  <si>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</si>
  <si>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</si>
  <si>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</si>
  <si>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</si>
  <si>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</si>
  <si>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</si>
  <si>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</si>
  <si>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</si>
  <si>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</si>
  <si>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</si>
  <si>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</si>
  <si>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</si>
  <si>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</si>
  <si>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</si>
  <si>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</si>
  <si>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</si>
  <si>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</si>
  <si>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</si>
  <si>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</si>
  <si>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</si>
  <si>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</si>
  <si>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</si>
  <si>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</si>
  <si>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</si>
  <si>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</si>
  <si>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</si>
  <si>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</si>
  <si>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</si>
  <si>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</si>
  <si>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</si>
  <si>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</si>
  <si>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</si>
  <si>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</si>
  <si>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</si>
  <si>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</si>
  <si>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</si>
  <si>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</si>
  <si>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</si>
  <si>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</si>
  <si>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</si>
  <si>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</si>
  <si>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</si>
  <si>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</si>
  <si>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</si>
  <si>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</si>
  <si>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</si>
  <si>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</si>
  <si>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</si>
  <si>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</si>
  <si>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</si>
  <si>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</si>
  <si>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</si>
  <si>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</si>
  <si>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</si>
  <si>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</si>
  <si>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</si>
  <si>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</si>
  <si>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</si>
  <si>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</si>
  <si>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</si>
  <si>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</si>
  <si>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</si>
  <si>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</si>
  <si>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</si>
  <si>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</si>
  <si>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</si>
  <si>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</si>
  <si>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</si>
  <si>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</si>
  <si>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</si>
  <si>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</si>
  <si>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</si>
  <si>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</si>
  <si>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</si>
  <si>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</si>
  <si>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</si>
  <si>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</si>
  <si>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</si>
  <si>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</si>
  <si>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</si>
  <si>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</si>
  <si>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</si>
  <si>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</si>
  <si>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</si>
  <si>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</si>
  <si>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</si>
  <si>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</si>
  <si>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</si>
  <si>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</si>
  <si>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</si>
  <si>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</si>
  <si>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</si>
  <si>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</si>
  <si>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</si>
  <si>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</si>
  <si>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</si>
  <si>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</si>
  <si>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</si>
  <si>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</si>
  <si>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</si>
  <si>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</si>
  <si>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</si>
  <si>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</si>
  <si>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</si>
  <si>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</si>
  <si>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</si>
  <si>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</si>
  <si>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</si>
  <si>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</si>
  <si>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</si>
  <si>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</si>
  <si>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</si>
  <si>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</si>
  <si>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</si>
  <si>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</si>
  <si>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</si>
  <si>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</si>
  <si>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</si>
  <si>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</si>
  <si>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</si>
  <si>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</si>
  <si>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</si>
  <si>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</si>
  <si>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</si>
  <si>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</si>
  <si>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</si>
  <si>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</si>
  <si>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</si>
  <si>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</si>
  <si>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</si>
  <si>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</si>
  <si>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</si>
  <si>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</si>
  <si>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</si>
  <si>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</si>
  <si>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</si>
  <si>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</si>
  <si>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</si>
  <si>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</si>
  <si>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</si>
  <si>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</si>
  <si>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</si>
  <si>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</si>
  <si>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</si>
  <si>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</si>
  <si>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</si>
  <si>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</si>
  <si>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</si>
  <si>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</si>
  <si>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</si>
  <si>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</si>
  <si>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</si>
  <si>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</si>
  <si>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</si>
  <si>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</si>
  <si>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</si>
  <si>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</si>
  <si>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</si>
  <si>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</si>
  <si>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</si>
  <si>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</si>
  <si>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</si>
  <si>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</si>
  <si>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</si>
  <si>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</si>
  <si>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</si>
  <si>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</si>
  <si>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</si>
  <si>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</si>
  <si>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</si>
  <si>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</si>
  <si>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</si>
  <si>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</si>
  <si>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</si>
  <si>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</si>
  <si>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</si>
  <si>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</si>
  <si>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</si>
  <si>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</si>
  <si>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</si>
  <si>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</si>
  <si>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</si>
  <si>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</si>
  <si>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</si>
  <si>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</si>
  <si>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</si>
  <si>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</si>
  <si>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</si>
  <si>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</si>
  <si>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</si>
  <si>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</si>
  <si>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</si>
  <si>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</si>
  <si>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</si>
  <si>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</si>
  <si>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</si>
  <si>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</si>
  <si>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</si>
  <si>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</si>
  <si>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</si>
  <si>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</si>
  <si>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</si>
  <si>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</si>
  <si>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</si>
  <si>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</si>
  <si>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</si>
  <si>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</si>
  <si>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</si>
  <si>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</si>
  <si>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</si>
  <si>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</si>
  <si>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</si>
  <si>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</si>
  <si>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</si>
  <si>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</si>
  <si>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</si>
  <si>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</si>
  <si>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</si>
  <si>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</si>
  <si>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</si>
  <si>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</si>
  <si>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</si>
  <si>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</si>
  <si>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</si>
  <si>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</si>
  <si>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</si>
  <si>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</si>
  <si>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</si>
  <si>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</si>
  <si>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</si>
  <si>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</si>
  <si>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</si>
  <si>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</si>
  <si>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</si>
  <si>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</si>
  <si>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</si>
  <si>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</si>
  <si>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</si>
  <si>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</si>
  <si>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</si>
  <si>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</si>
  <si>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</si>
  <si>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</si>
  <si>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</si>
  <si>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</si>
  <si>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</si>
  <si>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</si>
  <si>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</si>
  <si>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</si>
  <si>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</si>
  <si>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</si>
  <si>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</si>
  <si>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</si>
  <si>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</si>
  <si>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</si>
  <si>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</si>
  <si>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</si>
  <si>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</si>
  <si>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</si>
  <si>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</si>
  <si>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</si>
  <si>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</si>
  <si>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</si>
  <si>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</si>
  <si>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</si>
  <si>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</si>
  <si>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</si>
  <si>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</si>
  <si>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</si>
  <si>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</si>
  <si>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</si>
  <si>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</si>
  <si>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</si>
  <si>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</si>
  <si>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</si>
  <si>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</si>
  <si>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</si>
  <si>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</si>
  <si>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</si>
  <si>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</si>
  <si>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</si>
  <si>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</si>
  <si>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</si>
  <si>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</si>
  <si>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</si>
  <si>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</si>
  <si>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</si>
  <si>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</si>
  <si>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</si>
  <si>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</si>
  <si>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</si>
  <si>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</si>
  <si>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</si>
  <si>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</si>
  <si>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</si>
  <si>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</si>
  <si>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</si>
  <si>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</si>
  <si>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</si>
  <si>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</si>
  <si>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</si>
  <si>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</si>
  <si>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</si>
  <si>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</si>
  <si>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</si>
  <si>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</si>
  <si>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</si>
  <si>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</si>
  <si>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</si>
  <si>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</si>
  <si>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</si>
  <si>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</si>
  <si>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</si>
  <si>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</si>
  <si>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</si>
  <si>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</si>
  <si>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</si>
  <si>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</si>
  <si>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</si>
  <si>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</si>
  <si>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</si>
  <si>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</si>
  <si>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</si>
  <si>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</si>
  <si>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</si>
  <si>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</si>
  <si>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</si>
  <si>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</si>
  <si>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</si>
  <si>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</si>
  <si>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</si>
  <si>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</si>
  <si>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</si>
  <si>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</si>
  <si>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</si>
  <si>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</si>
  <si>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</si>
  <si>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</si>
  <si>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</si>
  <si>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</si>
  <si>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</si>
  <si>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</si>
  <si>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</si>
  <si>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</si>
  <si>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</si>
  <si>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</si>
  <si>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</si>
  <si>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</si>
  <si>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</si>
  <si>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</si>
  <si>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</si>
  <si>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</si>
  <si>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</si>
  <si>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</si>
  <si>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</si>
  <si>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</si>
  <si>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</si>
  <si>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</si>
  <si>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</si>
  <si>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</si>
  <si>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</si>
  <si>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</si>
  <si>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</si>
  <si>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</si>
  <si>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</si>
  <si>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</si>
  <si>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</si>
  <si>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</si>
  <si>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</si>
  <si>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</si>
  <si>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</si>
  <si>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</si>
  <si>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</si>
  <si>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</si>
  <si>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</si>
  <si>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</si>
  <si>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</si>
  <si>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</si>
  <si>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</si>
  <si>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</si>
  <si>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</si>
  <si>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</si>
  <si>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</si>
  <si>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</si>
  <si>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M_00.0012.000012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</si>
  <si>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</si>
  <si>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</si>
  <si>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</si>
  <si>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</si>
  <si>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</si>
  <si>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</si>
  <si>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</si>
  <si>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</si>
  <si>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</si>
  <si>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</si>
  <si>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</si>
  <si>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</si>
  <si>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</si>
  <si>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</si>
  <si>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</si>
  <si>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</si>
  <si>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</si>
  <si>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</si>
  <si>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</si>
  <si>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</si>
  <si>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</si>
  <si>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</si>
  <si>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</si>
  <si>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</si>
  <si>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</si>
  <si>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</si>
  <si>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</si>
  <si>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</si>
  <si>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</si>
  <si>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</si>
  <si>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</si>
  <si>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</si>
  <si>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</si>
  <si>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</si>
  <si>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</si>
  <si>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</si>
  <si>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</si>
  <si>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</si>
  <si>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</si>
  <si>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</si>
  <si>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</si>
  <si>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</si>
  <si>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</si>
  <si>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</si>
  <si>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</si>
  <si>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</si>
  <si>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</si>
  <si>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</si>
  <si>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</si>
  <si>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</si>
  <si>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</si>
  <si>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</si>
  <si>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</si>
  <si>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</si>
  <si>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</si>
  <si>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</si>
  <si>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</si>
  <si>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</si>
  <si>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</si>
  <si>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</si>
  <si>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на 2024 год в связи с низкой активностью стороннего подрядчика</t>
  </si>
  <si>
    <t>ТМЦ</t>
  </si>
  <si>
    <t>Поставка реакторов и оборудования к ним</t>
  </si>
  <si>
    <t>АО "Электромагистраль"</t>
  </si>
  <si>
    <t>Регламент определения начальной (максимальной) цены договора на закупку товаров (работ, услуг) АО "Электромагистраль"</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</si>
  <si>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</si>
  <si>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
2 других участника не видим, т.к. они были отклонениы на 1х частях</t>
  </si>
  <si>
    <t>-</t>
  </si>
  <si>
    <t>ОБЩЕСТВО С ОГРАНИЧЕННОЙ ОТВЕТСТВЕННОСТЬЮ "ИНЖЕНЕРНЫЙ ЦЕНТР СИБИРИ"</t>
  </si>
  <si>
    <t>да</t>
  </si>
  <si>
    <t>https://com.roseltorg.ru/</t>
  </si>
  <si>
    <t>ПД</t>
  </si>
  <si>
    <t>ООО «ИЦС»</t>
  </si>
  <si>
    <t>ПД-23-00065 от 21.03.2023</t>
  </si>
  <si>
    <t>Поставка выкатного элемента</t>
  </si>
  <si>
    <t>ОБЩЕСТВО С ОГРАНИЧЕННОЙ ОТВЕТСТВЕННОСТЬЮ "ТОРГОВЫЙ ДОМ "КЭПС"; ОБЩЕСТВО С ОГРАНИЧЕННОЙ ОТВЕТСТВЕННОСТЬЮ "ТЭЛ МП"
2 других участника не видим, т.к. они были отклонениы на 1х частях</t>
  </si>
  <si>
    <t>2273,4428; 2286,48910</t>
  </si>
  <si>
    <t>ОБЩЕСТВО С ОГРАНИЧЕННОЙ ОТВЕТСТВЕННОСТЬЮ "ТОРГОВЫЙ ДОМ "КЭПС"</t>
  </si>
  <si>
    <t>ПД-23-00067 от 22.03.2023</t>
  </si>
  <si>
    <t>Поставка оборудования РЗиА</t>
  </si>
  <si>
    <t xml:space="preserve">ОБЩЕСТВО С ОГРАНИЧЕННОЙ ОТВЕТСТВЕННОСТЬЮ НАУЧНО-ПРОИЗВОДСТВЕННОЕ ПРЕДПРИЯТИЕ "МИКРОПРОЦЕССОРНЫЕ ТЕХНОЛОГИИ";
ОБЩЕСТВО С ОГРАНИЧЕННОЙ ОТВЕТСТВЕННОСТЬЮ "ЭНЕРГОМИР"
</t>
  </si>
  <si>
    <t>1530,16667; 1530,16667</t>
  </si>
  <si>
    <t>900,000; 972,34916</t>
  </si>
  <si>
    <t>ОБЩЕСТВО С ОГРАНИЧЕННОЙ ОТВЕТСТВЕННОСТЬЮ НАУЧНО-ПРОИЗВОДСТВЕННОЕ ПРЕДПРИЯТИЕ "МИКРОПРОЦЕССОРНЫЕ ТЕХНОЛОГИИ"</t>
  </si>
  <si>
    <t>ООО НПП «Микропроцессорные технологии»</t>
  </si>
  <si>
    <t>ПД-23-00078 от 21.03.2023</t>
  </si>
  <si>
    <t>СМР</t>
  </si>
  <si>
    <t>Выполнение строительно-монтажных и пусконаладочных работ по проекту "Компенсация емкостных токов сети 10 кВ ПС Дружная, доукомплектация яч.№9, 17"</t>
  </si>
  <si>
    <t>Запрос предложений в электронной форме</t>
  </si>
  <si>
    <t>ОБЩЕСТВО С ОГРАНИЧЕННОЙ ОТВЕТСТВЕННОСТЬЮ НАУЧНО-ПРОИЗВОДСТВЕННОЕ ПРЕДПРИЯТИЕ "СИБИРЬЭНЕРГОСЕРВИС"; ОБЩЕСТВО С ОГРАНИЧЕННОЙ ОТВЕТСТВЕННОСТЬЮ "ЭЛЕКТРОМАШИНОСТРОИТЕЛЬНЫЙ ЗАВОД"</t>
  </si>
  <si>
    <t>7678,809; 7500,000</t>
  </si>
  <si>
    <t>7192,84768; 7154,45364</t>
  </si>
  <si>
    <t>ОБЩЕСТВО С ОГРАНИЧЕННОЙ ОТВЕТСТВЕННОСТЬЮ "ЭЛЕКТРОМАШИНОСТРОИТЕЛЬНЫЙ ЗАВОД"</t>
  </si>
  <si>
    <t>ИП</t>
  </si>
  <si>
    <t>ИП-23-00192 от 07.06.2023</t>
  </si>
  <si>
    <t>Поставка трансформаторов тока ТОЛ ТЗРЛ</t>
  </si>
  <si>
    <t>ОБЩЕСТВО С ОГРАНИЧЕННОЙ ОТВЕТСТВЕННОСТЬЮ "ЭНЕРГОМИР"
ОБЩЕСТВО С ОГРАНИЧЕННОЙ ОТВЕТСТВЕННОСТЬЮ "АКРОН СКРАП НОВОСИБИРСК"</t>
  </si>
  <si>
    <t>250,71501
250,71501</t>
  </si>
  <si>
    <t>217,16776
229,70351</t>
  </si>
  <si>
    <t>ОБЩЕСТВО С ОГРАНИЧЕННОЙ ОТВЕТСТВЕННОСТЬЮ "ЭНЕРГОМИР"</t>
  </si>
  <si>
    <t>ООО "Энергомир"</t>
  </si>
  <si>
    <t>ПД-23-00255 от 11.08.2023</t>
  </si>
  <si>
    <t>ПИР</t>
  </si>
  <si>
    <t>Выполнение) работ по разработке проектно-сметной и рабочей документации «Компенсация емкостных токов сети 10 кВ ПС Дружная, доукомплектация яч.№9,17»</t>
  </si>
  <si>
    <t>Запрос предложений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</si>
  <si>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"ПРОЕКТНЫЙ 
ЦЕНТР СИБИРИ"; ОБЩЕСТВО С ОГРАНИЧЕННОЙ 
ОТВЕТСТВЕННОСТЬЮ "НПП БРЕСЛЕР"</t>
  </si>
  <si>
    <t>945,10874; 790,000</t>
  </si>
  <si>
    <t>СЫЦЕСТВО С ОГРАНИЧЕННОЙ
ОТВЕТСТВЕННОСТЬЮ "НПП
БРЕСЛЕР"</t>
  </si>
  <si>
    <t>ООО "НПП Бреслер" ООО "Инженерный центр Сибири"</t>
  </si>
  <si>
    <t>https://www.roseltorg.ru/</t>
  </si>
  <si>
    <t>ИП-21-00112 от 07.06.2021</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</si>
  <si>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</si>
  <si>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</si>
  <si>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</si>
  <si>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приказами: № 420 от 23.05.2023; 
№ 420/1 от 11.09.2023</t>
  </si>
  <si>
    <t>Коченевский район п. Дружный</t>
  </si>
  <si>
    <t>не требуется</t>
  </si>
  <si>
    <t>не относится</t>
  </si>
  <si>
    <t>+</t>
  </si>
  <si>
    <t>8,42 МВА</t>
  </si>
  <si>
    <t>149880/5330635 от 27.04.2018</t>
  </si>
  <si>
    <t xml:space="preserve">1СШ РУ-10 кВ (ячейка №9) ПС 220 кВ Дружная </t>
  </si>
  <si>
    <t>2СШ РУ-10 кВ (ячейка №17) ПС 220 кВ Дружная</t>
  </si>
  <si>
    <t>1. Технологическое присоединение  энергопринимающих устройств Заявителей к сетям АО "Электромагистраль".</t>
  </si>
  <si>
    <t>Установка устройств компенсации емкостных токов в сетях 10 кВ.</t>
  </si>
  <si>
    <t>ПС 220 кВ Дружная</t>
  </si>
  <si>
    <t>15321,39 тыс. руб. с НДС на 1 КЕТ</t>
  </si>
  <si>
    <t>Выделение этапов не предусмотрено</t>
  </si>
  <si>
    <t>1. Договоры технологического присоединения: 149880/5330635 от 27.04.2018;195/7700032 от 26.05.2020.</t>
  </si>
  <si>
    <t>С</t>
  </si>
  <si>
    <t>Сибирский Федеральный округ, Новосибирская область, Коченевский район п. Дружный</t>
  </si>
  <si>
    <t>Сетевая организация осуществляет:
10.1. Доукомплектацию ячейки 10 кВ №9 на 1СШ-10 кВ и ячейки 10 кВ №17 на 2СШ-10 кВ РУ-10 кВ  ПС  220 кВ Дружная необходимым оборудованием. Тип и параметры оборудования, устанавливаемого в ячейки 10 кВ №9 и №17, определить проектом.
10.2. Установку двух дугогасящих реакторов на ПС 220 кВ Дружная с выполнением сопутствующего объема работ.</t>
  </si>
  <si>
    <t>СЗ №1 от 27.12.2019,
ДС №2 от 29.06.2022</t>
  </si>
  <si>
    <t>Заключен</t>
  </si>
  <si>
    <t>Новосибирская область, Коченевский район, р.п. Коченево (кадастровые номера земельных участков 54:11:000000:5548, 54:11:040213:325) и две проектируемые ЛЭП-10 кВ от ПС 220 кВ Дружная (кадастровые номера земельных участков 54:11:028112:788, 54:11:028112:784).</t>
  </si>
  <si>
    <t>Промышленное предприятие и две проектируемые ЛЭП-10 кВ от ПС 220 кВ Дружная</t>
  </si>
  <si>
    <t/>
  </si>
  <si>
    <t xml:space="preserve">4,863;0,445812832691161                                                                                     </t>
  </si>
  <si>
    <t>КВЛ по состоянию на 01.10.2024, тыс. руб. без НДС (без ФОТ)</t>
  </si>
  <si>
    <t>ФИН по состоянию на 01.10.2024, тыс. руб. с НДС (без взаимозачетов)</t>
  </si>
  <si>
    <t>100%</t>
  </si>
  <si>
    <t>Недобросовестной исполнение договора со стороны подрядчика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</si>
</sst>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448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559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565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566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585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0.44581283269116134</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567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M_00.0012.000012</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450</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444</v>
      </c>
      <c r="I21" s="447"/>
      <c r="J21" s="446" t="s">
        <v>445</v>
      </c>
      <c r="K21" s="446"/>
      <c r="L21" s="447" t="s">
        <v>444</v>
      </c>
      <c r="M21" s="447"/>
      <c r="N21" s="446" t="s">
        <v>445</v>
      </c>
      <c r="O21" s="446"/>
      <c r="P21" s="445" t="s">
        <v>1</v>
      </c>
      <c r="Q21" s="445"/>
      <c r="R21" s="446" t="s">
        <v>445</v>
      </c>
      <c r="S21" s="446"/>
      <c r="T21" s="445" t="s">
        <v>1</v>
      </c>
      <c r="U21" s="445"/>
      <c r="V21" s="446" t="s">
        <v>445</v>
      </c>
      <c r="W21" s="446"/>
      <c r="X21" s="445" t="s">
        <v>1</v>
      </c>
      <c r="Y21" s="445"/>
      <c r="Z21" s="446" t="s">
        <v>445</v>
      </c>
      <c r="AA21" s="446"/>
      <c r="AB21" s="462"/>
      <c r="AC21" s="463"/>
    </row>
    <row r="22" spans="1:32" ht="89.25" customHeight="1" x14ac:dyDescent="0.25">
      <c r="A22" s="457"/>
      <c r="B22" s="457"/>
      <c r="C22" s="274" t="str">
        <f>H21</f>
        <v>Утвержденный план</v>
      </c>
      <c r="D22" s="283" t="s">
        <v>445</v>
      </c>
      <c r="E22" s="287" t="s">
        <v>446</v>
      </c>
      <c r="F22" s="287" t="s">
        <v>449</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28.682954958000003</v>
      </c>
      <c r="D24" s="279">
        <f t="shared" si="0"/>
        <v>30.642775028699987</v>
      </c>
      <c r="E24" s="284">
        <f t="shared" si="0"/>
        <v>11.07051152923737</v>
      </c>
      <c r="F24" s="284">
        <f t="shared" si="0"/>
        <v>0</v>
      </c>
      <c r="G24" s="267">
        <f t="shared" si="0"/>
        <v>11.07051152923737</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24.039375670000002</v>
      </c>
      <c r="D27" s="279">
        <v>25.64954875356451</v>
      </c>
      <c r="E27" s="285">
        <f>J27+N27+G27+P27+T27+X27</f>
        <v>9.6396208012373705</v>
      </c>
      <c r="F27" s="285">
        <f t="shared" si="8"/>
        <v>0</v>
      </c>
      <c r="G27" s="267">
        <v>9.6396208012373705</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584</v>
      </c>
      <c r="J28" s="280">
        <v>0</v>
      </c>
      <c r="K28" s="281" t="s">
        <v>584</v>
      </c>
      <c r="L28" s="266">
        <v>0</v>
      </c>
      <c r="M28" s="268" t="s">
        <v>584</v>
      </c>
      <c r="N28" s="280">
        <v>0</v>
      </c>
      <c r="O28" s="281" t="s">
        <v>584</v>
      </c>
      <c r="P28" s="154">
        <v>0</v>
      </c>
      <c r="Q28" s="154" t="s">
        <v>584</v>
      </c>
      <c r="R28" s="280">
        <v>0</v>
      </c>
      <c r="S28" s="281">
        <v>0</v>
      </c>
      <c r="T28" s="154">
        <v>0</v>
      </c>
      <c r="U28" s="154" t="s">
        <v>584</v>
      </c>
      <c r="V28" s="280">
        <v>0</v>
      </c>
      <c r="W28" s="281">
        <v>0</v>
      </c>
      <c r="X28" s="154">
        <v>0</v>
      </c>
      <c r="Y28" s="154" t="s">
        <v>584</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584</v>
      </c>
      <c r="J29" s="280">
        <v>0</v>
      </c>
      <c r="K29" s="281" t="s">
        <v>584</v>
      </c>
      <c r="L29" s="266">
        <v>0</v>
      </c>
      <c r="M29" s="268" t="s">
        <v>584</v>
      </c>
      <c r="N29" s="280">
        <v>0</v>
      </c>
      <c r="O29" s="281" t="s">
        <v>584</v>
      </c>
      <c r="P29" s="154">
        <v>0</v>
      </c>
      <c r="Q29" s="288" t="s">
        <v>584</v>
      </c>
      <c r="R29" s="280">
        <v>0</v>
      </c>
      <c r="S29" s="281">
        <v>0</v>
      </c>
      <c r="T29" s="154">
        <v>0</v>
      </c>
      <c r="U29" s="154" t="s">
        <v>584</v>
      </c>
      <c r="V29" s="280">
        <v>0</v>
      </c>
      <c r="W29" s="281">
        <v>0</v>
      </c>
      <c r="X29" s="154">
        <v>0</v>
      </c>
      <c r="Y29" s="154" t="s">
        <v>584</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584</v>
      </c>
      <c r="J30" s="280">
        <v>0</v>
      </c>
      <c r="K30" s="281" t="s">
        <v>584</v>
      </c>
      <c r="L30" s="266">
        <v>0</v>
      </c>
      <c r="M30" s="268" t="s">
        <v>584</v>
      </c>
      <c r="N30" s="280">
        <v>0</v>
      </c>
      <c r="O30" s="281" t="s">
        <v>584</v>
      </c>
      <c r="P30" s="154">
        <v>0</v>
      </c>
      <c r="Q30" s="154" t="s">
        <v>584</v>
      </c>
      <c r="R30" s="280">
        <v>0</v>
      </c>
      <c r="S30" s="281">
        <v>0</v>
      </c>
      <c r="T30" s="154">
        <v>0</v>
      </c>
      <c r="U30" s="154" t="s">
        <v>584</v>
      </c>
      <c r="V30" s="280">
        <v>0</v>
      </c>
      <c r="W30" s="281">
        <v>0</v>
      </c>
      <c r="X30" s="154">
        <v>0</v>
      </c>
      <c r="Y30" s="154" t="s">
        <v>584</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584</v>
      </c>
      <c r="J31" s="280">
        <v>0</v>
      </c>
      <c r="K31" s="281" t="s">
        <v>584</v>
      </c>
      <c r="L31" s="266">
        <v>0</v>
      </c>
      <c r="M31" s="268" t="s">
        <v>584</v>
      </c>
      <c r="N31" s="280">
        <v>0</v>
      </c>
      <c r="O31" s="281" t="s">
        <v>584</v>
      </c>
      <c r="P31" s="154">
        <v>0</v>
      </c>
      <c r="Q31" s="154" t="s">
        <v>584</v>
      </c>
      <c r="R31" s="280">
        <v>0</v>
      </c>
      <c r="S31" s="281">
        <v>0</v>
      </c>
      <c r="T31" s="154">
        <v>0</v>
      </c>
      <c r="U31" s="154" t="s">
        <v>584</v>
      </c>
      <c r="V31" s="280">
        <v>0</v>
      </c>
      <c r="W31" s="281">
        <v>0</v>
      </c>
      <c r="X31" s="154">
        <v>0</v>
      </c>
      <c r="Y31" s="154" t="s">
        <v>584</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4.6435792880000006</v>
      </c>
      <c r="D33" s="280">
        <v>4.9932262751354788</v>
      </c>
      <c r="E33" s="285">
        <f>J33+N33+G33+P33+T33+X33</f>
        <v>1.4308907279999994</v>
      </c>
      <c r="F33" s="285">
        <f t="shared" ref="F33" si="18">E33-G33</f>
        <v>0</v>
      </c>
      <c r="G33" s="266">
        <v>1.4308907279999994</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24.039375670000005</v>
      </c>
      <c r="D34" s="279">
        <f t="shared" ref="D34:G34" si="19">SUM(D35:D38)</f>
        <v>25.6817160887</v>
      </c>
      <c r="E34" s="285">
        <f t="shared" ref="E34" si="20">J34+N34+G34+P34+T34+X34</f>
        <v>9.3625220686999988</v>
      </c>
      <c r="F34" s="279">
        <f t="shared" si="19"/>
        <v>0</v>
      </c>
      <c r="G34" s="267">
        <f t="shared" si="19"/>
        <v>9.3625220686999988</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0.79</v>
      </c>
      <c r="D35" s="280">
        <v>0.79</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2.7374065745831428</v>
      </c>
      <c r="D36" s="280">
        <v>6.0354927810078767</v>
      </c>
      <c r="E36" s="285">
        <f>J36+N36+G36+P36+T36+X36</f>
        <v>6.0354927810078767</v>
      </c>
      <c r="F36" s="285">
        <f t="shared" ref="F36:F37" si="30">E36-G36</f>
        <v>0</v>
      </c>
      <c r="G36" s="266">
        <v>6.0354927810078767</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18.229922725000005</v>
      </c>
      <c r="D37" s="280">
        <v>15.490610560000002</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2.2820463704168574</v>
      </c>
      <c r="D38" s="280">
        <v>3.3656127476921212</v>
      </c>
      <c r="E38" s="285">
        <f>J38+N38+G38+P38+T38+X38</f>
        <v>3.3270292876921213</v>
      </c>
      <c r="F38" s="285">
        <f>E38-G38</f>
        <v>0</v>
      </c>
      <c r="G38" s="266">
        <v>3.3270292876921213</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6</v>
      </c>
      <c r="D46" s="280">
        <v>6</v>
      </c>
      <c r="E46" s="285">
        <f t="shared" si="31"/>
        <v>6</v>
      </c>
      <c r="F46" s="285">
        <f>E46-G46</f>
        <v>0</v>
      </c>
      <c r="G46" s="266">
        <v>6</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6</v>
      </c>
      <c r="D54" s="280">
        <v>6</v>
      </c>
      <c r="E54" s="285">
        <f t="shared" si="34"/>
        <v>6</v>
      </c>
      <c r="F54" s="285">
        <f t="shared" si="33"/>
        <v>0</v>
      </c>
      <c r="G54" s="266">
        <v>6</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24.039375670000005</v>
      </c>
      <c r="D56" s="280">
        <v>25.681716088699993</v>
      </c>
      <c r="E56" s="285">
        <f t="shared" ref="E56:E61" si="36">J56+N56+G56+P56+T56+X56</f>
        <v>25.681716088699993</v>
      </c>
      <c r="F56" s="280">
        <f t="shared" si="33"/>
        <v>0</v>
      </c>
      <c r="G56" s="266">
        <v>25.681716088699993</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6</v>
      </c>
      <c r="D61" s="280">
        <v>6</v>
      </c>
      <c r="E61" s="285">
        <f t="shared" si="36"/>
        <v>6</v>
      </c>
      <c r="F61" s="285">
        <f t="shared" si="33"/>
        <v>0</v>
      </c>
      <c r="G61" s="266">
        <v>6</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451</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L30" zoomScale="80" zoomScaleSheetLayoutView="80" workbookViewId="0">
      <selection activeCell="AX30"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M_00.0012.000012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586</v>
      </c>
      <c r="AY22" s="489" t="s">
        <v>587</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25027.250380000001</v>
      </c>
      <c r="Q26" s="177" t="s">
        <v>425</v>
      </c>
      <c r="R26" s="179">
        <f>SUM(R27:R86)</f>
        <v>25254.059379999999</v>
      </c>
      <c r="S26" s="177" t="s">
        <v>425</v>
      </c>
      <c r="T26" s="177" t="s">
        <v>425</v>
      </c>
      <c r="U26" s="177" t="s">
        <v>425</v>
      </c>
      <c r="V26" s="177" t="s">
        <v>425</v>
      </c>
      <c r="W26" s="177" t="s">
        <v>425</v>
      </c>
      <c r="X26" s="177" t="s">
        <v>425</v>
      </c>
      <c r="Y26" s="177" t="s">
        <v>425</v>
      </c>
      <c r="Z26" s="177" t="s">
        <v>425</v>
      </c>
      <c r="AA26" s="177" t="s">
        <v>425</v>
      </c>
      <c r="AB26" s="179">
        <f>SUM(AB27:AB86)</f>
        <v>22645.064200000001</v>
      </c>
      <c r="AC26" s="177" t="s">
        <v>425</v>
      </c>
      <c r="AD26" s="179">
        <f>SUM(AD27:AD86)</f>
        <v>28122.077041999997</v>
      </c>
      <c r="AE26" s="179">
        <f>SUM(AE27:AE86)</f>
        <v>8585.3443720000014</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24815.112260000002</v>
      </c>
      <c r="AY26" s="179">
        <f t="shared" si="46"/>
        <v>19536.732669999998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12230</v>
      </c>
      <c r="Q27" s="214" t="s">
        <v>512</v>
      </c>
      <c r="R27" s="215">
        <v>12230</v>
      </c>
      <c r="S27" s="214" t="s">
        <v>513</v>
      </c>
      <c r="T27" s="214" t="s">
        <v>513</v>
      </c>
      <c r="U27" s="214">
        <v>5</v>
      </c>
      <c r="V27" s="214">
        <v>3</v>
      </c>
      <c r="W27" s="214" t="s">
        <v>514</v>
      </c>
      <c r="X27" s="214">
        <v>12300</v>
      </c>
      <c r="Y27" s="214" t="s">
        <v>515</v>
      </c>
      <c r="Z27" s="214" t="s">
        <v>425</v>
      </c>
      <c r="AA27" s="214">
        <v>12100</v>
      </c>
      <c r="AB27" s="215">
        <v>12100</v>
      </c>
      <c r="AC27" s="214" t="s">
        <v>516</v>
      </c>
      <c r="AD27" s="215">
        <v>14520</v>
      </c>
      <c r="AE27" s="291">
        <f>IF(IFERROR(AD27-AY27,"нд")&lt;0,0,IFERROR(AD27-AY27,"нд"))</f>
        <v>0</v>
      </c>
      <c r="AF27" s="214">
        <v>32312046860</v>
      </c>
      <c r="AG27" s="214" t="s">
        <v>517</v>
      </c>
      <c r="AH27" s="214" t="s">
        <v>518</v>
      </c>
      <c r="AI27" s="216">
        <v>44957</v>
      </c>
      <c r="AJ27" s="216">
        <v>44946</v>
      </c>
      <c r="AK27" s="216">
        <v>44956</v>
      </c>
      <c r="AL27" s="216">
        <v>44988</v>
      </c>
      <c r="AM27" s="214" t="s">
        <v>425</v>
      </c>
      <c r="AN27" s="214" t="s">
        <v>425</v>
      </c>
      <c r="AO27" s="214" t="s">
        <v>425</v>
      </c>
      <c r="AP27" s="214" t="s">
        <v>425</v>
      </c>
      <c r="AQ27" s="216">
        <v>45008</v>
      </c>
      <c r="AR27" s="216">
        <v>45006</v>
      </c>
      <c r="AS27" s="216">
        <v>45008</v>
      </c>
      <c r="AT27" s="216">
        <v>45006</v>
      </c>
      <c r="AU27" s="216">
        <v>45058</v>
      </c>
      <c r="AV27" s="214" t="s">
        <v>425</v>
      </c>
      <c r="AW27" s="214" t="s">
        <v>425</v>
      </c>
      <c r="AX27" s="217">
        <v>12100</v>
      </c>
      <c r="AY27" s="217">
        <v>14520</v>
      </c>
      <c r="AZ27" s="215" t="s">
        <v>519</v>
      </c>
      <c r="BA27" s="215" t="s">
        <v>509</v>
      </c>
      <c r="BB27" s="215" t="s">
        <v>520</v>
      </c>
      <c r="BC27" s="215" t="s">
        <v>521</v>
      </c>
      <c r="BD27" s="215" t="str">
        <f>CONCATENATE(BB27,", ",BA27,", ",N27,", ","договор № ",BC27)</f>
        <v>ООО «ИЦС», ТМЦ, Поставка реакторов и оборудования к ним, договор № ПД-23-00065 от 21.03.2023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509</v>
      </c>
      <c r="N28" s="214" t="s">
        <v>522</v>
      </c>
      <c r="O28" s="214" t="s">
        <v>511</v>
      </c>
      <c r="P28" s="215">
        <v>2609.2599599999999</v>
      </c>
      <c r="Q28" s="214" t="s">
        <v>512</v>
      </c>
      <c r="R28" s="215">
        <v>2609.2599599999999</v>
      </c>
      <c r="S28" s="214" t="s">
        <v>513</v>
      </c>
      <c r="T28" s="214" t="s">
        <v>513</v>
      </c>
      <c r="U28" s="214">
        <v>5</v>
      </c>
      <c r="V28" s="214">
        <v>4</v>
      </c>
      <c r="W28" s="214" t="s">
        <v>523</v>
      </c>
      <c r="X28" s="214">
        <v>2609.2599599999999</v>
      </c>
      <c r="Y28" s="214" t="s">
        <v>515</v>
      </c>
      <c r="Z28" s="214">
        <v>1</v>
      </c>
      <c r="AA28" s="214" t="s">
        <v>524</v>
      </c>
      <c r="AB28" s="215">
        <v>2273.4427999999998</v>
      </c>
      <c r="AC28" s="214" t="s">
        <v>525</v>
      </c>
      <c r="AD28" s="215">
        <v>2728.1313599999999</v>
      </c>
      <c r="AE28" s="291">
        <f t="shared" ref="AE28:AE86" si="49">IF(IFERROR(AD28-AY28,"нд")&lt;0,0,IFERROR(AD28-AY28,"нд"))</f>
        <v>0</v>
      </c>
      <c r="AF28" s="214">
        <v>32312068653</v>
      </c>
      <c r="AG28" s="214" t="s">
        <v>517</v>
      </c>
      <c r="AH28" s="214" t="s">
        <v>518</v>
      </c>
      <c r="AI28" s="216">
        <v>44957</v>
      </c>
      <c r="AJ28" s="216">
        <v>44956</v>
      </c>
      <c r="AK28" s="216">
        <v>44964</v>
      </c>
      <c r="AL28" s="216">
        <v>44988</v>
      </c>
      <c r="AM28" s="214" t="s">
        <v>425</v>
      </c>
      <c r="AN28" s="214" t="s">
        <v>425</v>
      </c>
      <c r="AO28" s="214" t="s">
        <v>425</v>
      </c>
      <c r="AP28" s="214" t="s">
        <v>425</v>
      </c>
      <c r="AQ28" s="216">
        <v>45008</v>
      </c>
      <c r="AR28" s="216">
        <v>45007</v>
      </c>
      <c r="AS28" s="216">
        <v>45008</v>
      </c>
      <c r="AT28" s="216">
        <v>45007</v>
      </c>
      <c r="AU28" s="216">
        <v>45085</v>
      </c>
      <c r="AV28" s="214" t="s">
        <v>425</v>
      </c>
      <c r="AW28" s="214" t="s">
        <v>425</v>
      </c>
      <c r="AX28" s="215">
        <v>2273.4427999999998</v>
      </c>
      <c r="AY28" s="215">
        <v>2728.1313599999999</v>
      </c>
      <c r="AZ28" s="215" t="s">
        <v>519</v>
      </c>
      <c r="BA28" s="215" t="s">
        <v>509</v>
      </c>
      <c r="BB28" s="215" t="s">
        <v>520</v>
      </c>
      <c r="BC28" s="215" t="s">
        <v>526</v>
      </c>
      <c r="BD28" s="215" t="str">
        <f t="shared" ref="BD28:BD86" si="50">CONCATENATE(BB28,", ",BA28,", ",N28,", ","договор № ",BC28)</f>
        <v>ООО «ИЦС», ТМЦ, Поставка выкатного элемента, договор № ПД-23-00067 от 22.03.2023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509</v>
      </c>
      <c r="N29" s="214" t="s">
        <v>527</v>
      </c>
      <c r="O29" s="214" t="s">
        <v>511</v>
      </c>
      <c r="P29" s="215">
        <v>1530.1666700000001</v>
      </c>
      <c r="Q29" s="214" t="s">
        <v>512</v>
      </c>
      <c r="R29" s="215">
        <v>1530.1666700000001</v>
      </c>
      <c r="S29" s="214" t="s">
        <v>513</v>
      </c>
      <c r="T29" s="214" t="s">
        <v>513</v>
      </c>
      <c r="U29" s="214">
        <v>3</v>
      </c>
      <c r="V29" s="214">
        <v>2</v>
      </c>
      <c r="W29" s="214" t="s">
        <v>528</v>
      </c>
      <c r="X29" s="214" t="s">
        <v>529</v>
      </c>
      <c r="Y29" s="214" t="s">
        <v>515</v>
      </c>
      <c r="Z29" s="214">
        <v>1</v>
      </c>
      <c r="AA29" s="214" t="s">
        <v>530</v>
      </c>
      <c r="AB29" s="215">
        <v>900</v>
      </c>
      <c r="AC29" s="214" t="s">
        <v>531</v>
      </c>
      <c r="AD29" s="215">
        <v>1080</v>
      </c>
      <c r="AE29" s="291">
        <f t="shared" si="49"/>
        <v>0</v>
      </c>
      <c r="AF29" s="214">
        <v>32312075327</v>
      </c>
      <c r="AG29" s="214" t="s">
        <v>517</v>
      </c>
      <c r="AH29" s="214" t="s">
        <v>518</v>
      </c>
      <c r="AI29" s="216">
        <v>44957</v>
      </c>
      <c r="AJ29" s="216">
        <v>44957</v>
      </c>
      <c r="AK29" s="216">
        <v>44965</v>
      </c>
      <c r="AL29" s="216">
        <v>44995</v>
      </c>
      <c r="AM29" s="214" t="s">
        <v>425</v>
      </c>
      <c r="AN29" s="214" t="s">
        <v>425</v>
      </c>
      <c r="AO29" s="214" t="s">
        <v>425</v>
      </c>
      <c r="AP29" s="214" t="s">
        <v>425</v>
      </c>
      <c r="AQ29" s="216">
        <v>45015</v>
      </c>
      <c r="AR29" s="216">
        <v>45006</v>
      </c>
      <c r="AS29" s="216">
        <v>45015</v>
      </c>
      <c r="AT29" s="216">
        <v>45006</v>
      </c>
      <c r="AU29" s="216">
        <v>45058</v>
      </c>
      <c r="AV29" s="214" t="s">
        <v>425</v>
      </c>
      <c r="AW29" s="214" t="s">
        <v>425</v>
      </c>
      <c r="AX29" s="215">
        <v>900</v>
      </c>
      <c r="AY29" s="215">
        <v>1080</v>
      </c>
      <c r="AZ29" s="215" t="s">
        <v>519</v>
      </c>
      <c r="BA29" s="215" t="s">
        <v>509</v>
      </c>
      <c r="BB29" s="215" t="s">
        <v>532</v>
      </c>
      <c r="BC29" s="215" t="s">
        <v>533</v>
      </c>
      <c r="BD29" s="215" t="str">
        <f t="shared" si="50"/>
        <v>ООО НПП «Микропроцессорные технологии», ТМЦ, Поставка оборудования РЗиА, договор № ПД-23-00078 от 21.03.2023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534</v>
      </c>
      <c r="N30" s="214" t="s">
        <v>535</v>
      </c>
      <c r="O30" s="214" t="s">
        <v>511</v>
      </c>
      <c r="P30" s="215">
        <v>7452</v>
      </c>
      <c r="Q30" s="214" t="s">
        <v>512</v>
      </c>
      <c r="R30" s="215">
        <v>7678.8090000000002</v>
      </c>
      <c r="S30" s="214" t="s">
        <v>536</v>
      </c>
      <c r="T30" s="214" t="s">
        <v>536</v>
      </c>
      <c r="U30" s="214">
        <v>3</v>
      </c>
      <c r="V30" s="214">
        <v>2</v>
      </c>
      <c r="W30" s="214" t="s">
        <v>537</v>
      </c>
      <c r="X30" s="214" t="s">
        <v>538</v>
      </c>
      <c r="Y30" s="214" t="s">
        <v>515</v>
      </c>
      <c r="Z30" s="214">
        <v>1</v>
      </c>
      <c r="AA30" s="214" t="s">
        <v>539</v>
      </c>
      <c r="AB30" s="215">
        <v>7154.4536399999997</v>
      </c>
      <c r="AC30" s="214" t="s">
        <v>540</v>
      </c>
      <c r="AD30" s="215">
        <v>8585.3443700000007</v>
      </c>
      <c r="AE30" s="291">
        <f t="shared" si="49"/>
        <v>8585.3443700000007</v>
      </c>
      <c r="AF30" s="214">
        <v>32312245628</v>
      </c>
      <c r="AG30" s="214" t="s">
        <v>517</v>
      </c>
      <c r="AH30" s="214" t="s">
        <v>518</v>
      </c>
      <c r="AI30" s="216">
        <v>45016</v>
      </c>
      <c r="AJ30" s="216">
        <v>45016</v>
      </c>
      <c r="AK30" s="216">
        <v>45028</v>
      </c>
      <c r="AL30" s="216">
        <v>45072</v>
      </c>
      <c r="AM30" s="214" t="s">
        <v>425</v>
      </c>
      <c r="AN30" s="214" t="s">
        <v>425</v>
      </c>
      <c r="AO30" s="214" t="s">
        <v>425</v>
      </c>
      <c r="AP30" s="214" t="s">
        <v>425</v>
      </c>
      <c r="AQ30" s="216">
        <v>45092</v>
      </c>
      <c r="AR30" s="216">
        <v>45084</v>
      </c>
      <c r="AS30" s="216">
        <v>45092</v>
      </c>
      <c r="AT30" s="216">
        <v>45084</v>
      </c>
      <c r="AU30" s="216">
        <v>45307</v>
      </c>
      <c r="AV30" s="214" t="s">
        <v>425</v>
      </c>
      <c r="AW30" s="214" t="s">
        <v>425</v>
      </c>
      <c r="AX30" s="215">
        <v>8534.5017000000007</v>
      </c>
      <c r="AY30" s="215">
        <v>0</v>
      </c>
      <c r="AZ30" s="215" t="s">
        <v>541</v>
      </c>
      <c r="BA30" s="215" t="s">
        <v>534</v>
      </c>
      <c r="BB30" s="215" t="s">
        <v>540</v>
      </c>
      <c r="BC30" s="215" t="s">
        <v>542</v>
      </c>
      <c r="BD30" s="215" t="str">
        <f t="shared" si="50"/>
        <v>ОБЩЕСТВО С ОГРАНИЧЕННОЙ ОТВЕТСТВЕННОСТЬЮ "ЭЛЕКТРОМАШИНОСТРОИТЕЛЬНЫЙ ЗАВОД", СМР, Выполнение строительно-монтажных и пусконаладочных работ по проекту "Компенсация емкостных токов сети 10 кВ ПС Дружная, доукомплектация яч.№9, 17", договор № ИП-23-00192 от 07.06.2023</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509</v>
      </c>
      <c r="N31" s="214" t="s">
        <v>543</v>
      </c>
      <c r="O31" s="214" t="s">
        <v>511</v>
      </c>
      <c r="P31" s="215">
        <v>250.71501000000001</v>
      </c>
      <c r="Q31" s="214" t="s">
        <v>512</v>
      </c>
      <c r="R31" s="215">
        <v>250.71501000000001</v>
      </c>
      <c r="S31" s="214" t="s">
        <v>513</v>
      </c>
      <c r="T31" s="214" t="s">
        <v>513</v>
      </c>
      <c r="U31" s="214">
        <v>5</v>
      </c>
      <c r="V31" s="214">
        <v>2</v>
      </c>
      <c r="W31" s="214" t="s">
        <v>544</v>
      </c>
      <c r="X31" s="214" t="s">
        <v>545</v>
      </c>
      <c r="Y31" s="214" t="s">
        <v>515</v>
      </c>
      <c r="Z31" s="214">
        <v>1</v>
      </c>
      <c r="AA31" s="214" t="s">
        <v>546</v>
      </c>
      <c r="AB31" s="215">
        <v>217.16775999999999</v>
      </c>
      <c r="AC31" s="214" t="s">
        <v>547</v>
      </c>
      <c r="AD31" s="215">
        <v>260.60131199999995</v>
      </c>
      <c r="AE31" s="291">
        <f t="shared" si="49"/>
        <v>1.9999999381070666E-6</v>
      </c>
      <c r="AF31" s="214">
        <v>32312541747</v>
      </c>
      <c r="AG31" s="214" t="s">
        <v>517</v>
      </c>
      <c r="AH31" s="214" t="s">
        <v>518</v>
      </c>
      <c r="AI31" s="216">
        <v>45107</v>
      </c>
      <c r="AJ31" s="216">
        <v>45107</v>
      </c>
      <c r="AK31" s="216">
        <v>45117</v>
      </c>
      <c r="AL31" s="216">
        <v>45134</v>
      </c>
      <c r="AM31" s="214" t="s">
        <v>425</v>
      </c>
      <c r="AN31" s="214" t="s">
        <v>425</v>
      </c>
      <c r="AO31" s="214" t="s">
        <v>425</v>
      </c>
      <c r="AP31" s="214" t="s">
        <v>425</v>
      </c>
      <c r="AQ31" s="216">
        <v>45154</v>
      </c>
      <c r="AR31" s="216">
        <v>45135</v>
      </c>
      <c r="AS31" s="216">
        <v>45154</v>
      </c>
      <c r="AT31" s="216">
        <v>45154</v>
      </c>
      <c r="AU31" s="216">
        <v>45195</v>
      </c>
      <c r="AV31" s="214" t="s">
        <v>425</v>
      </c>
      <c r="AW31" s="214" t="s">
        <v>425</v>
      </c>
      <c r="AX31" s="215">
        <v>217.16775999999999</v>
      </c>
      <c r="AY31" s="215">
        <v>260.60131000000001</v>
      </c>
      <c r="AZ31" s="215" t="s">
        <v>519</v>
      </c>
      <c r="BA31" s="215" t="s">
        <v>509</v>
      </c>
      <c r="BB31" s="215" t="s">
        <v>548</v>
      </c>
      <c r="BC31" s="215" t="s">
        <v>549</v>
      </c>
      <c r="BD31" s="215" t="str">
        <f t="shared" si="50"/>
        <v>ООО "Энергомир", ТМЦ, Поставка трансформаторов тока ТОЛ ТЗРЛ, договор № ПД-23-00255 от 11.08.2023</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550</v>
      </c>
      <c r="N32" s="214" t="s">
        <v>551</v>
      </c>
      <c r="O32" s="214" t="s">
        <v>511</v>
      </c>
      <c r="P32" s="215">
        <v>955.10874000000001</v>
      </c>
      <c r="Q32" s="214" t="s">
        <v>512</v>
      </c>
      <c r="R32" s="215">
        <v>955.10874000000001</v>
      </c>
      <c r="S32" s="214" t="s">
        <v>552</v>
      </c>
      <c r="T32" s="214" t="s">
        <v>552</v>
      </c>
      <c r="U32" s="214">
        <v>3</v>
      </c>
      <c r="V32" s="214">
        <v>2</v>
      </c>
      <c r="W32" s="214" t="s">
        <v>553</v>
      </c>
      <c r="X32" s="214" t="s">
        <v>554</v>
      </c>
      <c r="Y32" s="214" t="s">
        <v>515</v>
      </c>
      <c r="Z32" s="214" t="s">
        <v>515</v>
      </c>
      <c r="AA32" s="214" t="s">
        <v>515</v>
      </c>
      <c r="AB32" s="215" t="s">
        <v>555</v>
      </c>
      <c r="AC32" s="214" t="s">
        <v>556</v>
      </c>
      <c r="AD32" s="215">
        <v>948</v>
      </c>
      <c r="AE32" s="291">
        <f t="shared" si="49"/>
        <v>0</v>
      </c>
      <c r="AF32" s="214">
        <v>32110234896</v>
      </c>
      <c r="AG32" s="214" t="s">
        <v>517</v>
      </c>
      <c r="AH32" s="214" t="s">
        <v>557</v>
      </c>
      <c r="AI32" s="216">
        <v>44316</v>
      </c>
      <c r="AJ32" s="216">
        <v>44313</v>
      </c>
      <c r="AK32" s="216">
        <v>44329</v>
      </c>
      <c r="AL32" s="216">
        <v>44341</v>
      </c>
      <c r="AM32" s="214" t="s">
        <v>425</v>
      </c>
      <c r="AN32" s="214" t="s">
        <v>425</v>
      </c>
      <c r="AO32" s="214" t="s">
        <v>425</v>
      </c>
      <c r="AP32" s="214" t="s">
        <v>425</v>
      </c>
      <c r="AQ32" s="216">
        <v>44361</v>
      </c>
      <c r="AR32" s="216">
        <v>44354</v>
      </c>
      <c r="AS32" s="216">
        <v>44361</v>
      </c>
      <c r="AT32" s="216">
        <v>44354</v>
      </c>
      <c r="AU32" s="216">
        <v>45290</v>
      </c>
      <c r="AV32" s="214" t="s">
        <v>425</v>
      </c>
      <c r="AW32" s="214" t="s">
        <v>425</v>
      </c>
      <c r="AX32" s="215">
        <v>790</v>
      </c>
      <c r="AY32" s="215">
        <v>948</v>
      </c>
      <c r="AZ32" s="215" t="s">
        <v>541</v>
      </c>
      <c r="BA32" s="215" t="s">
        <v>550</v>
      </c>
      <c r="BB32" s="215" t="s">
        <v>556</v>
      </c>
      <c r="BC32" s="215" t="s">
        <v>558</v>
      </c>
      <c r="BD32" s="215" t="str">
        <f t="shared" si="50"/>
        <v>ООО "НПП Бреслер" ООО "Инженерный центр Сибири", ПИР, Выполнение) работ по разработке проектно-сметной и рабочей документации «Компенсация емкостных токов сети 10 кВ ПС Дружная, доукомплектация яч.№9,17», договор № ИП-21-00112 от 07.06.2021</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2024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M_00.0012.000012</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573</v>
      </c>
    </row>
    <row r="22" spans="1:2" x14ac:dyDescent="0.25">
      <c r="A22" s="157" t="s">
        <v>306</v>
      </c>
      <c r="B22" s="157" t="s">
        <v>578</v>
      </c>
    </row>
    <row r="23" spans="1:2" x14ac:dyDescent="0.25">
      <c r="A23" s="157" t="s">
        <v>288</v>
      </c>
      <c r="B23" s="157" t="s">
        <v>561</v>
      </c>
    </row>
    <row r="24" spans="1:2" x14ac:dyDescent="0.25">
      <c r="A24" s="157" t="s">
        <v>307</v>
      </c>
      <c r="B24" s="157" t="s">
        <v>425</v>
      </c>
    </row>
    <row r="25" spans="1:2" x14ac:dyDescent="0.25">
      <c r="A25" s="158" t="s">
        <v>308</v>
      </c>
      <c r="B25" s="175">
        <v>45565</v>
      </c>
    </row>
    <row r="26" spans="1:2" x14ac:dyDescent="0.25">
      <c r="A26" s="158" t="s">
        <v>309</v>
      </c>
      <c r="B26" s="160" t="s">
        <v>577</v>
      </c>
    </row>
    <row r="27" spans="1:2" x14ac:dyDescent="0.25">
      <c r="A27" s="160" t="str">
        <f>CONCATENATE("Стоимость проекта в прогнозных ценах, млн. руб. с НДС")</f>
        <v>Стоимость проекта в прогнозных ценах, млн. руб. с НДС</v>
      </c>
      <c r="B27" s="171">
        <v>30.642775028699987</v>
      </c>
    </row>
    <row r="28" spans="1:2" ht="93.75" customHeight="1" x14ac:dyDescent="0.25">
      <c r="A28" s="159" t="s">
        <v>310</v>
      </c>
      <c r="B28" s="162" t="s">
        <v>562</v>
      </c>
    </row>
    <row r="29" spans="1:2" ht="28.5" x14ac:dyDescent="0.25">
      <c r="A29" s="160" t="s">
        <v>311</v>
      </c>
      <c r="B29" s="171">
        <f>'7. Паспорт отчет о закупке'!$AB$26*1.2/1000</f>
        <v>27.17407704</v>
      </c>
    </row>
    <row r="30" spans="1:2" ht="28.5" x14ac:dyDescent="0.25">
      <c r="A30" s="160" t="s">
        <v>312</v>
      </c>
      <c r="B30" s="171">
        <f>'7. Паспорт отчет о закупке'!$AD$26/1000</f>
        <v>28.122077041999997</v>
      </c>
    </row>
    <row r="31" spans="1:2" x14ac:dyDescent="0.25">
      <c r="A31" s="159" t="s">
        <v>313</v>
      </c>
      <c r="B31" s="161"/>
    </row>
    <row r="32" spans="1:2" ht="28.5" x14ac:dyDescent="0.25">
      <c r="A32" s="160" t="s">
        <v>314</v>
      </c>
      <c r="B32" s="171">
        <f>SUM(SUMIF(B33,"&gt;0",B33),SUMIF(B37,"&gt;0",B37),SUMIF(B41,"&gt;0",B41),SUMIF(B45,"&gt;0",B45),SUMIF(B49,"&gt;0",B49),SUMIF(B53,"&gt;0",B53))</f>
        <v>9.5333443700000018</v>
      </c>
    </row>
    <row r="33" spans="1:2" ht="30" x14ac:dyDescent="0.25">
      <c r="A33" s="168" t="s">
        <v>433</v>
      </c>
      <c r="B33" s="161" t="str">
        <f>IFERROR(IF(VLOOKUP(1,'7. Паспорт отчет о закупке'!$A$27:$CD$86,52,0)="ИП",VLOOKUP(1,'7. Паспорт отчет о закупке'!$A$27:$CD$86,30,0)/1000,"нд"),"нд")</f>
        <v>нд</v>
      </c>
    </row>
    <row r="34" spans="1:2" x14ac:dyDescent="0.25">
      <c r="A34" s="168" t="s">
        <v>315</v>
      </c>
      <c r="B34" s="161" t="str">
        <f>IF(B33="нд","нд",$B33/$B$27*100)</f>
        <v>нд</v>
      </c>
    </row>
    <row r="35" spans="1:2" x14ac:dyDescent="0.25">
      <c r="A35" s="168" t="s">
        <v>316</v>
      </c>
      <c r="B35" s="161" t="str">
        <f>IF(VLOOKUP(1,'7. Паспорт отчет о закупке'!$A$27:$CD$86,52,0)="ИП",VLOOKUP(1,'7. Паспорт отчет о закупке'!$A$27:$CD$86,51,0)/1000,"нд")</f>
        <v>нд</v>
      </c>
    </row>
    <row r="36" spans="1:2" x14ac:dyDescent="0.25">
      <c r="A36" s="168" t="s">
        <v>437</v>
      </c>
      <c r="B36" s="161" t="str">
        <f>IF(VLOOKUP(1,'7. Паспорт отчет о закупке'!$A$27:$CD$86,52,0)="ИП",VLOOKUP(1,'7. Паспорт отчет о закупке'!$A$27:$CD$86,50,0)/1000,"нд")</f>
        <v>нд</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8.5853443700000014</v>
      </c>
    </row>
    <row r="46" spans="1:2" x14ac:dyDescent="0.25">
      <c r="A46" s="168" t="s">
        <v>315</v>
      </c>
      <c r="B46" s="161">
        <f>IF(B45="нд","нд",$B45/$B$27*100)</f>
        <v>28.017515913486875</v>
      </c>
    </row>
    <row r="47" spans="1:2" x14ac:dyDescent="0.25">
      <c r="A47" s="168" t="s">
        <v>316</v>
      </c>
      <c r="B47" s="161">
        <f>IF(VLOOKUP(4,'7. Паспорт отчет о закупке'!$A$27:$CD$86,52,0)="ИП",VLOOKUP(4,'7. Паспорт отчет о закупке'!$A$27:$CD$86,51,0)/1000,"нд")</f>
        <v>0</v>
      </c>
    </row>
    <row r="48" spans="1:2" x14ac:dyDescent="0.25">
      <c r="A48" s="168" t="s">
        <v>437</v>
      </c>
      <c r="B48" s="161">
        <f>IF(VLOOKUP(4,'7. Паспорт отчет о закупке'!$A$27:$CD$86,52,0)="ИП",VLOOKUP(4,'7. Паспорт отчет о закупке'!$A$27:$CD$86,50,0)/1000,"нд")</f>
        <v>8.5345016999999999</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f>IF(VLOOKUP(6,'7. Паспорт отчет о закупке'!$A$27:$CD$86,52,0)="ИП",VLOOKUP(6,'7. Паспорт отчет о закупке'!$A$27:$CD$86,30,0)/1000,"нд")</f>
        <v>0.94799999999999995</v>
      </c>
    </row>
    <row r="54" spans="1:2" x14ac:dyDescent="0.25">
      <c r="A54" s="168" t="s">
        <v>315</v>
      </c>
      <c r="B54" s="161">
        <f>IF(B53="нд","нд",$B53/$B$27*100)</f>
        <v>3.0937145839830245</v>
      </c>
    </row>
    <row r="55" spans="1:2" x14ac:dyDescent="0.25">
      <c r="A55" s="168" t="s">
        <v>316</v>
      </c>
      <c r="B55" s="161">
        <f>IF(VLOOKUP(6,'7. Паспорт отчет о закупке'!$A$27:$CD$86,52,0)="ИП",VLOOKUP(6,'7. Паспорт отчет о закупке'!$A$27:$CD$86,51,0)/1000,"нд")</f>
        <v>0.94799999999999995</v>
      </c>
    </row>
    <row r="56" spans="1:2" x14ac:dyDescent="0.25">
      <c r="A56" s="168" t="s">
        <v>437</v>
      </c>
      <c r="B56" s="161">
        <f>IF(VLOOKUP(6,'7. Паспорт отчет о закупке'!$A$27:$CD$86,52,0)="ИП",VLOOKUP(6,'7. Паспорт отчет о закупке'!$A$27:$CD$86,50,0)/1000,"нд")</f>
        <v>0.79</v>
      </c>
    </row>
    <row r="57" spans="1:2" ht="28.5" x14ac:dyDescent="0.25">
      <c r="A57" s="169" t="s">
        <v>317</v>
      </c>
      <c r="B57" s="171">
        <f>SUM(SUMIF(B58,"&gt;0",B58),SUMIF(B62,"&gt;0",B62),SUMIF(B66,"&gt;0",B66),SUMIF(B70,"&gt;0",B70),SUMIF(B74,"&gt;0",B74))</f>
        <v>18.588732671999999</v>
      </c>
    </row>
    <row r="58" spans="1:2" ht="30" x14ac:dyDescent="0.25">
      <c r="A58" s="168" t="s">
        <v>433</v>
      </c>
      <c r="B58" s="161">
        <f>IF(VLOOKUP(1,'7. Паспорт отчет о закупке'!$A$27:$CD$86,52,0)="ПД",VLOOKUP(1,'7. Паспорт отчет о закупке'!$A$27:$CD$86,30,0)/1000,"нд")</f>
        <v>14.52</v>
      </c>
    </row>
    <row r="59" spans="1:2" x14ac:dyDescent="0.25">
      <c r="A59" s="168" t="s">
        <v>315</v>
      </c>
      <c r="B59" s="161">
        <f>IF(B58="нд","нд",$B58/$B$27*100)</f>
        <v>47.384742362271645</v>
      </c>
    </row>
    <row r="60" spans="1:2" x14ac:dyDescent="0.25">
      <c r="A60" s="168" t="s">
        <v>316</v>
      </c>
      <c r="B60" s="161">
        <f>IF(VLOOKUP(1,'7. Паспорт отчет о закупке'!$A$27:$CD$86,52,0)="ПД",VLOOKUP(1,'7. Паспорт отчет о закупке'!$A$27:$CD$86,51,0)/1000,"нд")</f>
        <v>14.52</v>
      </c>
    </row>
    <row r="61" spans="1:2" x14ac:dyDescent="0.25">
      <c r="A61" s="168" t="s">
        <v>437</v>
      </c>
      <c r="B61" s="161">
        <f>IF(VLOOKUP(1,'7. Паспорт отчет о закупке'!$A$27:$CD$86,52,0)="ПД",VLOOKUP(1,'7. Паспорт отчет о закупке'!$A$27:$CD$86,50,0)/1000,"нд")</f>
        <v>12.1</v>
      </c>
    </row>
    <row r="62" spans="1:2" ht="30" x14ac:dyDescent="0.25">
      <c r="A62" s="168" t="s">
        <v>433</v>
      </c>
      <c r="B62" s="161">
        <f>IF(VLOOKUP(2,'7. Паспорт отчет о закупке'!$A$27:$CD$86,52,0)="ПД",VLOOKUP(2,'7. Паспорт отчет о закупке'!$A$27:$CD$86,30,0)/1000,"нд")</f>
        <v>2.7281313599999999</v>
      </c>
    </row>
    <row r="63" spans="1:2" x14ac:dyDescent="0.25">
      <c r="A63" s="168" t="s">
        <v>315</v>
      </c>
      <c r="B63" s="161">
        <f>IF(B62="нд","нд",$B62/$B$27*100)</f>
        <v>8.9030166407736733</v>
      </c>
    </row>
    <row r="64" spans="1:2" x14ac:dyDescent="0.25">
      <c r="A64" s="168" t="s">
        <v>316</v>
      </c>
      <c r="B64" s="161">
        <f>IF(VLOOKUP(2,'7. Паспорт отчет о закупке'!$A$27:$CD$86,52,0)="ПД",VLOOKUP(2,'7. Паспорт отчет о закупке'!$A$27:$CD$86,51,0)/1000,"нд")</f>
        <v>2.7281313599999999</v>
      </c>
    </row>
    <row r="65" spans="1:2" x14ac:dyDescent="0.25">
      <c r="A65" s="168" t="s">
        <v>437</v>
      </c>
      <c r="B65" s="161">
        <f>IF(VLOOKUP(2,'7. Паспорт отчет о закупке'!$A$27:$CD$86,52,0)="ПД",VLOOKUP(2,'7. Паспорт отчет о закупке'!$A$27:$CD$86,50,0)/1000,"нд")</f>
        <v>2.2734427999999998</v>
      </c>
    </row>
    <row r="66" spans="1:2" ht="30" x14ac:dyDescent="0.25">
      <c r="A66" s="168" t="s">
        <v>433</v>
      </c>
      <c r="B66" s="161">
        <f>IF(VLOOKUP(3,'7. Паспорт отчет о закупке'!$A$27:$CD$86,52,0)="ПД",VLOOKUP(3,'7. Паспорт отчет о закупке'!$A$27:$CD$86,30,0)/1000,"нд")</f>
        <v>1.08</v>
      </c>
    </row>
    <row r="67" spans="1:2" x14ac:dyDescent="0.25">
      <c r="A67" s="168" t="s">
        <v>315</v>
      </c>
      <c r="B67" s="161">
        <f>IF(B66="нд","нд",$B66/$B$27*100)</f>
        <v>3.5244849690945856</v>
      </c>
    </row>
    <row r="68" spans="1:2" x14ac:dyDescent="0.25">
      <c r="A68" s="168" t="s">
        <v>316</v>
      </c>
      <c r="B68" s="161">
        <f>IF(VLOOKUP(3,'7. Паспорт отчет о закупке'!$A$27:$CD$86,52,0)="ПД",VLOOKUP(3,'7. Паспорт отчет о закупке'!$A$27:$CD$86,51,0)/1000,"нд")</f>
        <v>1.08</v>
      </c>
    </row>
    <row r="69" spans="1:2" x14ac:dyDescent="0.25">
      <c r="A69" s="168" t="s">
        <v>437</v>
      </c>
      <c r="B69" s="161">
        <f>IF(VLOOKUP(3,'7. Паспорт отчет о закупке'!$A$27:$CD$86,52,0)="ПД",VLOOKUP(3,'7. Паспорт отчет о закупке'!$A$27:$CD$86,50,0)/1000,"нд")</f>
        <v>0.9</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f>IF(VLOOKUP(5,'7. Паспорт отчет о закупке'!$A$27:$CD$86,52,0)="ПД",VLOOKUP(5,'7. Паспорт отчет о закупке'!$A$27:$CD$86,30,0)/1000,"нд")</f>
        <v>0.26060131199999997</v>
      </c>
    </row>
    <row r="75" spans="1:2" x14ac:dyDescent="0.25">
      <c r="A75" s="168" t="s">
        <v>315</v>
      </c>
      <c r="B75" s="161">
        <f>IF(B74="нд","нд",$B74/$B$27*100)</f>
        <v>0.85044945099104463</v>
      </c>
    </row>
    <row r="76" spans="1:2" x14ac:dyDescent="0.25">
      <c r="A76" s="168" t="s">
        <v>316</v>
      </c>
      <c r="B76" s="161">
        <f>IF(VLOOKUP(5,'7. Паспорт отчет о закупке'!$A$27:$CD$86,52,0)="ПД",VLOOKUP(5,'7. Паспорт отчет о закупке'!$A$27:$CD$86,51,0)/1000,"нд")</f>
        <v>0.26060131000000003</v>
      </c>
    </row>
    <row r="77" spans="1:2" x14ac:dyDescent="0.25">
      <c r="A77" s="168" t="s">
        <v>437</v>
      </c>
      <c r="B77" s="161">
        <f>IF(VLOOKUP(5,'7. Паспорт отчет о закупке'!$A$27:$CD$86,52,0)="ПД",VLOOKUP(5,'7. Паспорт отчет о закупке'!$A$27:$CD$86,50,0)/1000,"нд")</f>
        <v>0.21716775999999999</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28.017515913486875</v>
      </c>
      <c r="C85" s="194"/>
      <c r="D85" s="195"/>
      <c r="E85" s="194"/>
      <c r="F85" s="194"/>
      <c r="G85" s="194"/>
    </row>
    <row r="86" spans="1:7" x14ac:dyDescent="0.25">
      <c r="A86" s="163" t="s">
        <v>321</v>
      </c>
      <c r="B86" s="166">
        <f>SUMIF('7. Паспорт отчет о закупке'!$BA$27:$BA$86,"ТМЦ",'7. Паспорт отчет о закупке'!$AD$27:$AD$86)/1000/$B$27*100</f>
        <v>60.662693423130939</v>
      </c>
      <c r="C86" s="194"/>
      <c r="D86" s="195"/>
      <c r="E86" s="194"/>
      <c r="F86" s="194"/>
      <c r="G86" s="194"/>
    </row>
    <row r="87" spans="1:7" x14ac:dyDescent="0.25">
      <c r="A87" s="163" t="s">
        <v>322</v>
      </c>
      <c r="B87" s="166">
        <f>SUMIF('7. Паспорт отчет о закупке'!$BA$27:$BA$86,"ПИР",'7. Паспорт отчет о закупке'!$AD$27:$AD$86)/1000/$B$27*100</f>
        <v>3.0937145839830245</v>
      </c>
      <c r="C87" s="194"/>
      <c r="D87" s="195"/>
      <c r="E87" s="194"/>
      <c r="F87" s="194"/>
      <c r="G87" s="194"/>
    </row>
    <row r="88" spans="1:7" ht="30" x14ac:dyDescent="0.25">
      <c r="A88" s="158" t="s">
        <v>439</v>
      </c>
      <c r="B88" s="171">
        <v>0</v>
      </c>
      <c r="C88" s="194"/>
      <c r="D88" s="194"/>
      <c r="E88" s="194"/>
      <c r="F88" s="194"/>
      <c r="G88" s="194"/>
    </row>
    <row r="89" spans="1:7" x14ac:dyDescent="0.25">
      <c r="A89" s="158" t="s">
        <v>323</v>
      </c>
      <c r="B89" s="171">
        <f>'6.2. Паспорт фин осв ввод'!D24-'6.2. Паспорт фин осв ввод'!E24</f>
        <v>19.572263499462615</v>
      </c>
    </row>
    <row r="90" spans="1:7" x14ac:dyDescent="0.25">
      <c r="A90" s="158" t="s">
        <v>436</v>
      </c>
      <c r="B90" s="171">
        <f>IFERROR(SUM(B91*1.2/$B$27*100),0)</f>
        <v>63.907504479142489</v>
      </c>
    </row>
    <row r="91" spans="1:7" x14ac:dyDescent="0.25">
      <c r="A91" s="158" t="s">
        <v>441</v>
      </c>
      <c r="B91" s="171">
        <f>'6.2. Паспорт фин осв ввод'!D34-'6.2. Паспорт фин осв ввод'!E34</f>
        <v>16.319194020000001</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«ИЦС», ТМЦ, Поставка реакторов и оборудования к ним, договор № ПД-23-00065 от 21.03.2023
ООО «ИЦС», ТМЦ, Поставка выкатного элемента, договор № ПД-23-00067 от 22.03.2023
ООО НПП «Микропроцессорные технологии», ТМЦ, Поставка оборудования РЗиА, договор № ПД-23-00078 от 21.03.2023
ОБЩЕСТВО С ОГРАНИЧЕННОЙ ОТВЕТСТВЕННОСТЬЮ "ЭЛЕКТРОМАШИНОСТРОИТЕЛЬНЫЙ ЗАВОД", СМР, Выполнение строительно-монтажных и пусконаладочных работ по проекту "Компенсация емкостных токов сети 10 кВ ПС Дружная, доукомплектация яч.№9, 17", договор № ИП-23-00192 от 07.06.2023
ООО "Энергомир", ТМЦ, Поставка трансформаторов тока ТОЛ ТЗРЛ, договор № ПД-23-00255 от 11.08.2023
ООО "НПП Бреслер" ООО "Инженерный центр Сибири", ПИР, Выполнение) работ по разработке проектно-сметной и рабочей документации «Компенсация емкостных токов сети 10 кВ ПС Дружная, доукомплектация яч.№9,17», договор № ИП-21-00112 от 07.06.2021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Поставка реакторов и оборудования к ним</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12.05.2023
08.06.2023
12.05.2023
26.09.2023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508</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54"/>
  <sheetViews>
    <sheetView view="pageBreakPreview" topLeftCell="A10" zoomScale="55" zoomScaleSheetLayoutView="55" workbookViewId="0">
      <selection activeCell="G31" sqref="G31"/>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M_00.0012.000012</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120" x14ac:dyDescent="0.2">
      <c r="A22" s="304" t="s">
        <v>63</v>
      </c>
      <c r="B22" s="305" t="s">
        <v>568</v>
      </c>
      <c r="C22" s="303" t="s">
        <v>580</v>
      </c>
      <c r="D22" s="303" t="s">
        <v>581</v>
      </c>
      <c r="E22" s="303" t="s">
        <v>582</v>
      </c>
      <c r="F22" s="303" t="s">
        <v>583</v>
      </c>
      <c r="G22" s="138" t="s">
        <v>373</v>
      </c>
      <c r="H22" s="139">
        <v>4.8630000000000004</v>
      </c>
      <c r="I22" s="139" t="s">
        <v>425</v>
      </c>
      <c r="J22" s="139">
        <v>4.8630000000000004</v>
      </c>
      <c r="K22" s="139">
        <v>10</v>
      </c>
      <c r="L22" s="139">
        <v>1</v>
      </c>
      <c r="M22" s="139" t="s">
        <v>425</v>
      </c>
      <c r="N22" s="139" t="s">
        <v>425</v>
      </c>
      <c r="O22" s="139" t="s">
        <v>425</v>
      </c>
      <c r="P22" s="139" t="s">
        <v>425</v>
      </c>
      <c r="Q22" s="140" t="s">
        <v>425</v>
      </c>
      <c r="R22" s="140" t="s">
        <v>579</v>
      </c>
      <c r="S22" s="139">
        <v>3.7935377999999997</v>
      </c>
      <c r="T22" s="26"/>
      <c r="U22" s="26"/>
      <c r="V22" s="26"/>
      <c r="W22" s="26"/>
      <c r="X22" s="26"/>
      <c r="Y22" s="26"/>
      <c r="Z22" s="25"/>
      <c r="AA22" s="25"/>
      <c r="AB22" s="25"/>
    </row>
    <row r="23" spans="1:28" s="2" customFormat="1" ht="18.75" x14ac:dyDescent="0.2">
      <c r="A23" s="304"/>
      <c r="B23" s="306"/>
      <c r="C23" s="303"/>
      <c r="D23" s="303"/>
      <c r="E23" s="303"/>
      <c r="F23" s="303"/>
      <c r="G23" s="141" t="s">
        <v>569</v>
      </c>
      <c r="H23" s="140">
        <v>4.8630000000000004</v>
      </c>
      <c r="I23" s="140" t="s">
        <v>425</v>
      </c>
      <c r="J23" s="140">
        <v>4.8630000000000004</v>
      </c>
      <c r="K23" s="140">
        <v>10</v>
      </c>
      <c r="L23" s="140">
        <v>1</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4"/>
      <c r="B24" s="307"/>
      <c r="C24" s="303"/>
      <c r="D24" s="303"/>
      <c r="E24" s="303"/>
      <c r="F24" s="303"/>
      <c r="G24" s="141" t="s">
        <v>570</v>
      </c>
      <c r="H24" s="140">
        <v>4.8630000000000004</v>
      </c>
      <c r="I24" s="140" t="s">
        <v>425</v>
      </c>
      <c r="J24" s="140">
        <v>4.8630000000000004</v>
      </c>
      <c r="K24" s="140">
        <v>10</v>
      </c>
      <c r="L24" s="140">
        <v>1</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ht="15.75" x14ac:dyDescent="0.25">
      <c r="A25" s="33" t="s">
        <v>298</v>
      </c>
      <c r="B25" s="140" t="s">
        <v>425</v>
      </c>
      <c r="C25" s="140" t="s">
        <v>425</v>
      </c>
      <c r="D25" s="140" t="s">
        <v>425</v>
      </c>
      <c r="E25" s="140" t="s">
        <v>425</v>
      </c>
      <c r="F25" s="140" t="s">
        <v>425</v>
      </c>
      <c r="G25" s="140" t="s">
        <v>425</v>
      </c>
      <c r="H25" s="140">
        <f>SUMIFS(H$22:H$24,$G$22:$G$24,"Всего по всем точкам присоединения, 
в том числе:")</f>
        <v>4.8630000000000004</v>
      </c>
      <c r="I25" s="140">
        <f>SUMIFS(I$22:I$24,$G$22:$G$24,"Всего по всем точкам присоединения, 
в том числе:")</f>
        <v>0</v>
      </c>
      <c r="J25" s="140">
        <f>SUMIFS(J$22:J$24,$G$22:$G$24,"Всего по всем точкам присоединения, 
в том числе:")</f>
        <v>4.8630000000000004</v>
      </c>
      <c r="K25" s="140" t="s">
        <v>425</v>
      </c>
      <c r="L25" s="140" t="s">
        <v>425</v>
      </c>
      <c r="M25" s="140">
        <f>SUMIFS(M$22:M$24,$G$22:$G$24,"Всего по всем точкам присоединения, 
в том числе:")</f>
        <v>0</v>
      </c>
      <c r="N25" s="140" t="str">
        <f>IFERROR((N22+#REF!+#REF!+#REF!+#REF!),"нд")</f>
        <v>нд</v>
      </c>
      <c r="O25" s="140">
        <f>SUMIF(O$22:O$24,"&gt;0",O$22:O$24)</f>
        <v>0</v>
      </c>
      <c r="P25" s="140" t="str">
        <f>IFERROR((P22+#REF!+#REF!+#REF!+#REF!),"нд")</f>
        <v>нд</v>
      </c>
      <c r="Q25" s="140" t="str">
        <f>IFERROR((Q22+#REF!+#REF!+#REF!+#REF!),"нд")</f>
        <v>нд</v>
      </c>
      <c r="R25" s="140" t="str">
        <f>IFERROR((R22+#REF!+#REF!+#REF!+#REF!),"нд")</f>
        <v>нд</v>
      </c>
      <c r="S25" s="140">
        <f>SUMIF(S$22:S$24,"&gt;0",S$22:S$24)</f>
        <v>3.7935377999999997</v>
      </c>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sheetData>
  <autoFilter ref="A21:AB25" xr:uid="{00000000-0009-0000-0000-000002000000}"/>
  <mergeCells count="38">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2:A24"/>
    <mergeCell ref="B22:B24"/>
    <mergeCell ref="C22:C24"/>
    <mergeCell ref="D22:D24"/>
    <mergeCell ref="E22:E24"/>
  </mergeCells>
  <conditionalFormatting sqref="B22:S24 B25:G25 P25:R25 N25 K25:L25">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M_00.0012.000012</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425</v>
      </c>
      <c r="C25" s="151" t="s">
        <v>425</v>
      </c>
      <c r="D25" s="151" t="s">
        <v>425</v>
      </c>
      <c r="E25" s="151" t="s">
        <v>425</v>
      </c>
      <c r="F25" s="151" t="s">
        <v>425</v>
      </c>
      <c r="G25" s="151" t="s">
        <v>425</v>
      </c>
      <c r="H25" s="151" t="s">
        <v>425</v>
      </c>
      <c r="I25" s="151" t="s">
        <v>425</v>
      </c>
      <c r="J25" s="151" t="s">
        <v>425</v>
      </c>
      <c r="K25" s="151" t="s">
        <v>425</v>
      </c>
      <c r="L25" s="151" t="s">
        <v>425</v>
      </c>
      <c r="M25" s="151" t="s">
        <v>425</v>
      </c>
      <c r="N25" s="151" t="s">
        <v>425</v>
      </c>
      <c r="O25" s="151" t="s">
        <v>425</v>
      </c>
      <c r="P25" s="244" t="s">
        <v>425</v>
      </c>
      <c r="Q25" s="151" t="s">
        <v>425</v>
      </c>
      <c r="R25" s="151" t="s">
        <v>425</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M_00.0012.000012</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571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573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574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575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576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44562</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M_00.0012.000012</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M_00.0012.000012</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M_00.0012.000012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R23" sqref="R2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56.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448</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M_00.0012.000012</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444</v>
      </c>
      <c r="D22" s="430"/>
      <c r="E22" s="436" t="s">
        <v>452</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44979</v>
      </c>
      <c r="E25" s="255">
        <v>44294</v>
      </c>
      <c r="F25" s="255">
        <v>45180</v>
      </c>
      <c r="G25" s="256">
        <v>1</v>
      </c>
      <c r="H25" s="256">
        <v>1</v>
      </c>
      <c r="I25" s="252"/>
      <c r="J25" s="252" t="s">
        <v>425</v>
      </c>
      <c r="L25" s="290"/>
    </row>
    <row r="26" spans="1:12" x14ac:dyDescent="0.25">
      <c r="A26" s="257" t="s">
        <v>454</v>
      </c>
      <c r="B26" s="258" t="s">
        <v>455</v>
      </c>
      <c r="C26" s="255" t="s">
        <v>425</v>
      </c>
      <c r="D26" s="255" t="s">
        <v>425</v>
      </c>
      <c r="E26" s="255" t="s">
        <v>425</v>
      </c>
      <c r="F26" s="255" t="s">
        <v>425</v>
      </c>
      <c r="G26" s="260" t="s">
        <v>425</v>
      </c>
      <c r="H26" s="260" t="s">
        <v>425</v>
      </c>
      <c r="I26" s="257"/>
      <c r="J26" s="257" t="s">
        <v>425</v>
      </c>
    </row>
    <row r="27" spans="1:12" x14ac:dyDescent="0.25">
      <c r="A27" s="257" t="s">
        <v>456</v>
      </c>
      <c r="B27" s="258" t="s">
        <v>457</v>
      </c>
      <c r="C27" s="255" t="s">
        <v>425</v>
      </c>
      <c r="D27" s="255" t="s">
        <v>425</v>
      </c>
      <c r="E27" s="255" t="s">
        <v>425</v>
      </c>
      <c r="F27" s="255" t="s">
        <v>425</v>
      </c>
      <c r="G27" s="260" t="s">
        <v>425</v>
      </c>
      <c r="H27" s="260" t="s">
        <v>425</v>
      </c>
      <c r="I27" s="257"/>
      <c r="J27" s="257" t="s">
        <v>425</v>
      </c>
    </row>
    <row r="28" spans="1:12" ht="31.5" x14ac:dyDescent="0.25">
      <c r="A28" s="257" t="s">
        <v>458</v>
      </c>
      <c r="B28" s="258" t="s">
        <v>459</v>
      </c>
      <c r="C28" s="255" t="s">
        <v>425</v>
      </c>
      <c r="D28" s="255" t="s">
        <v>425</v>
      </c>
      <c r="E28" s="255" t="s">
        <v>425</v>
      </c>
      <c r="F28" s="255" t="s">
        <v>425</v>
      </c>
      <c r="G28" s="260" t="s">
        <v>425</v>
      </c>
      <c r="H28" s="260" t="s">
        <v>425</v>
      </c>
      <c r="I28" s="257"/>
      <c r="J28" s="257" t="s">
        <v>425</v>
      </c>
    </row>
    <row r="29" spans="1:12" x14ac:dyDescent="0.25">
      <c r="A29" s="257" t="s">
        <v>460</v>
      </c>
      <c r="B29" s="258" t="s">
        <v>461</v>
      </c>
      <c r="C29" s="255" t="s">
        <v>425</v>
      </c>
      <c r="D29" s="255" t="s">
        <v>425</v>
      </c>
      <c r="E29" s="255" t="s">
        <v>425</v>
      </c>
      <c r="F29" s="255" t="s">
        <v>425</v>
      </c>
      <c r="G29" s="260" t="s">
        <v>425</v>
      </c>
      <c r="H29" s="260" t="s">
        <v>425</v>
      </c>
      <c r="I29" s="257"/>
      <c r="J29" s="257" t="s">
        <v>425</v>
      </c>
    </row>
    <row r="30" spans="1:12" x14ac:dyDescent="0.25">
      <c r="A30" s="257" t="s">
        <v>462</v>
      </c>
      <c r="B30" s="258" t="s">
        <v>463</v>
      </c>
      <c r="C30" s="255" t="s">
        <v>425</v>
      </c>
      <c r="D30" s="255" t="s">
        <v>425</v>
      </c>
      <c r="E30" s="255" t="s">
        <v>425</v>
      </c>
      <c r="F30" s="255" t="s">
        <v>425</v>
      </c>
      <c r="G30" s="260" t="s">
        <v>425</v>
      </c>
      <c r="H30" s="260" t="s">
        <v>425</v>
      </c>
      <c r="I30" s="257"/>
      <c r="J30" s="257" t="s">
        <v>425</v>
      </c>
    </row>
    <row r="31" spans="1:12" x14ac:dyDescent="0.25">
      <c r="A31" s="257" t="s">
        <v>464</v>
      </c>
      <c r="B31" s="258" t="s">
        <v>465</v>
      </c>
      <c r="C31" s="255">
        <v>44562</v>
      </c>
      <c r="D31" s="255">
        <v>44719</v>
      </c>
      <c r="E31" s="255">
        <v>44294</v>
      </c>
      <c r="F31" s="255">
        <v>44354</v>
      </c>
      <c r="G31" s="260">
        <v>1</v>
      </c>
      <c r="H31" s="260">
        <v>1</v>
      </c>
      <c r="I31" s="257"/>
      <c r="J31" s="257" t="s">
        <v>425</v>
      </c>
    </row>
    <row r="32" spans="1:12" x14ac:dyDescent="0.25">
      <c r="A32" s="257" t="s">
        <v>466</v>
      </c>
      <c r="B32" s="258" t="s">
        <v>467</v>
      </c>
      <c r="C32" s="255">
        <v>44749</v>
      </c>
      <c r="D32" s="255">
        <v>44919</v>
      </c>
      <c r="E32" s="255">
        <v>44797</v>
      </c>
      <c r="F32" s="255">
        <v>44897</v>
      </c>
      <c r="G32" s="260">
        <v>1</v>
      </c>
      <c r="H32" s="260">
        <v>1</v>
      </c>
      <c r="I32" s="257"/>
      <c r="J32" s="257" t="s">
        <v>425</v>
      </c>
    </row>
    <row r="33" spans="1:10" ht="31.5" x14ac:dyDescent="0.25">
      <c r="A33" s="257" t="s">
        <v>468</v>
      </c>
      <c r="B33" s="258" t="s">
        <v>469</v>
      </c>
      <c r="C33" s="255" t="s">
        <v>425</v>
      </c>
      <c r="D33" s="255" t="s">
        <v>425</v>
      </c>
      <c r="E33" s="255" t="s">
        <v>425</v>
      </c>
      <c r="F33" s="255" t="s">
        <v>425</v>
      </c>
      <c r="G33" s="260" t="s">
        <v>425</v>
      </c>
      <c r="H33" s="260" t="s">
        <v>425</v>
      </c>
      <c r="I33" s="257"/>
      <c r="J33" s="257" t="s">
        <v>425</v>
      </c>
    </row>
    <row r="34" spans="1:10" ht="31.5" x14ac:dyDescent="0.25">
      <c r="A34" s="257" t="s">
        <v>470</v>
      </c>
      <c r="B34" s="258" t="s">
        <v>471</v>
      </c>
      <c r="C34" s="255" t="s">
        <v>425</v>
      </c>
      <c r="D34" s="255" t="s">
        <v>425</v>
      </c>
      <c r="E34" s="255" t="s">
        <v>425</v>
      </c>
      <c r="F34" s="255" t="s">
        <v>425</v>
      </c>
      <c r="G34" s="260" t="s">
        <v>425</v>
      </c>
      <c r="H34" s="260" t="s">
        <v>425</v>
      </c>
      <c r="I34" s="257"/>
      <c r="J34" s="257" t="s">
        <v>425</v>
      </c>
    </row>
    <row r="35" spans="1:10" x14ac:dyDescent="0.25">
      <c r="A35" s="257" t="s">
        <v>472</v>
      </c>
      <c r="B35" s="258" t="s">
        <v>473</v>
      </c>
      <c r="C35" s="255">
        <v>44919</v>
      </c>
      <c r="D35" s="255">
        <v>44979</v>
      </c>
      <c r="E35" s="255">
        <v>45069</v>
      </c>
      <c r="F35" s="255">
        <v>45180</v>
      </c>
      <c r="G35" s="260">
        <v>1</v>
      </c>
      <c r="H35" s="260">
        <v>1</v>
      </c>
      <c r="I35" s="257"/>
      <c r="J35" s="257" t="s">
        <v>425</v>
      </c>
    </row>
    <row r="36" spans="1:10" x14ac:dyDescent="0.25">
      <c r="A36" s="257" t="s">
        <v>474</v>
      </c>
      <c r="B36" s="258" t="s">
        <v>475</v>
      </c>
      <c r="C36" s="255" t="s">
        <v>425</v>
      </c>
      <c r="D36" s="255" t="s">
        <v>425</v>
      </c>
      <c r="E36" s="255" t="s">
        <v>425</v>
      </c>
      <c r="F36" s="255" t="s">
        <v>425</v>
      </c>
      <c r="G36" s="260" t="s">
        <v>425</v>
      </c>
      <c r="H36" s="260" t="s">
        <v>425</v>
      </c>
      <c r="I36" s="257"/>
      <c r="J36" s="257" t="s">
        <v>425</v>
      </c>
    </row>
    <row r="37" spans="1:10" x14ac:dyDescent="0.25">
      <c r="A37" s="257" t="s">
        <v>476</v>
      </c>
      <c r="B37" s="258" t="s">
        <v>477</v>
      </c>
      <c r="C37" s="255">
        <v>44749</v>
      </c>
      <c r="D37" s="255">
        <v>44919</v>
      </c>
      <c r="E37" s="255">
        <v>44827</v>
      </c>
      <c r="F37" s="255">
        <v>44897</v>
      </c>
      <c r="G37" s="260">
        <v>1</v>
      </c>
      <c r="H37" s="260">
        <v>1</v>
      </c>
      <c r="I37" s="257"/>
      <c r="J37" s="257" t="s">
        <v>425</v>
      </c>
    </row>
    <row r="38" spans="1:10" ht="31.5" x14ac:dyDescent="0.25">
      <c r="A38" s="252">
        <v>2</v>
      </c>
      <c r="B38" s="254" t="s">
        <v>503</v>
      </c>
      <c r="C38" s="255" t="s">
        <v>425</v>
      </c>
      <c r="D38" s="255" t="s">
        <v>425</v>
      </c>
      <c r="E38" s="255" t="s">
        <v>425</v>
      </c>
      <c r="F38" s="255" t="s">
        <v>425</v>
      </c>
      <c r="G38" s="261">
        <v>1</v>
      </c>
      <c r="H38" s="261">
        <v>1</v>
      </c>
      <c r="I38" s="252"/>
      <c r="J38" s="252" t="s">
        <v>425</v>
      </c>
    </row>
    <row r="39" spans="1:10" ht="31.5" x14ac:dyDescent="0.25">
      <c r="A39" s="262" t="s">
        <v>478</v>
      </c>
      <c r="B39" s="258" t="s">
        <v>479</v>
      </c>
      <c r="C39" s="255" t="s">
        <v>425</v>
      </c>
      <c r="D39" s="255" t="s">
        <v>425</v>
      </c>
      <c r="E39" s="255">
        <v>45024</v>
      </c>
      <c r="F39" s="255">
        <v>45084</v>
      </c>
      <c r="G39" s="263">
        <v>1</v>
      </c>
      <c r="H39" s="263">
        <v>1</v>
      </c>
      <c r="I39" s="257"/>
      <c r="J39" s="257" t="s">
        <v>425</v>
      </c>
    </row>
    <row r="40" spans="1:10" x14ac:dyDescent="0.25">
      <c r="A40" s="262" t="s">
        <v>480</v>
      </c>
      <c r="B40" s="258" t="s">
        <v>481</v>
      </c>
      <c r="C40" s="255">
        <v>44957</v>
      </c>
      <c r="D40" s="255">
        <v>45199</v>
      </c>
      <c r="E40" s="255">
        <v>44946</v>
      </c>
      <c r="F40" s="255">
        <v>45006</v>
      </c>
      <c r="G40" s="263">
        <v>1</v>
      </c>
      <c r="H40" s="263">
        <v>1</v>
      </c>
      <c r="I40" s="257"/>
      <c r="J40" s="257" t="s">
        <v>425</v>
      </c>
    </row>
    <row r="41" spans="1:10" x14ac:dyDescent="0.25">
      <c r="A41" s="252">
        <v>3</v>
      </c>
      <c r="B41" s="254" t="s">
        <v>482</v>
      </c>
      <c r="C41" s="255">
        <v>45039</v>
      </c>
      <c r="D41" s="255">
        <v>45234</v>
      </c>
      <c r="E41" s="255">
        <v>45085</v>
      </c>
      <c r="F41" s="255">
        <v>45558</v>
      </c>
      <c r="G41" s="261">
        <v>1</v>
      </c>
      <c r="H41" s="261">
        <v>1</v>
      </c>
      <c r="I41" s="252"/>
      <c r="J41" s="252" t="s">
        <v>425</v>
      </c>
    </row>
    <row r="42" spans="1:10" x14ac:dyDescent="0.25">
      <c r="A42" s="257" t="s">
        <v>483</v>
      </c>
      <c r="B42" s="258" t="s">
        <v>484</v>
      </c>
      <c r="C42" s="255" t="s">
        <v>425</v>
      </c>
      <c r="D42" s="255" t="s">
        <v>425</v>
      </c>
      <c r="E42" s="255">
        <v>45164</v>
      </c>
      <c r="F42" s="255">
        <v>45260</v>
      </c>
      <c r="G42" s="263">
        <v>1</v>
      </c>
      <c r="H42" s="263">
        <v>1</v>
      </c>
      <c r="I42" s="257"/>
      <c r="J42" s="257" t="s">
        <v>425</v>
      </c>
    </row>
    <row r="43" spans="1:10" x14ac:dyDescent="0.25">
      <c r="A43" s="257" t="s">
        <v>485</v>
      </c>
      <c r="B43" s="258" t="s">
        <v>486</v>
      </c>
      <c r="C43" s="255">
        <v>45039</v>
      </c>
      <c r="D43" s="255">
        <v>45099</v>
      </c>
      <c r="E43" s="255">
        <v>45085</v>
      </c>
      <c r="F43" s="255">
        <v>45199</v>
      </c>
      <c r="G43" s="263">
        <v>1</v>
      </c>
      <c r="H43" s="263">
        <v>1</v>
      </c>
      <c r="I43" s="257"/>
      <c r="J43" s="257" t="s">
        <v>425</v>
      </c>
    </row>
    <row r="44" spans="1:10" x14ac:dyDescent="0.25">
      <c r="A44" s="257" t="s">
        <v>487</v>
      </c>
      <c r="B44" s="258" t="s">
        <v>488</v>
      </c>
      <c r="C44" s="255">
        <v>45099</v>
      </c>
      <c r="D44" s="255">
        <v>45219</v>
      </c>
      <c r="E44" s="255">
        <v>45200</v>
      </c>
      <c r="F44" s="255">
        <v>45534</v>
      </c>
      <c r="G44" s="263">
        <v>1</v>
      </c>
      <c r="H44" s="263">
        <v>1</v>
      </c>
      <c r="I44" s="257"/>
      <c r="J44" s="257" t="s">
        <v>425</v>
      </c>
    </row>
    <row r="45" spans="1:10" ht="31.5" x14ac:dyDescent="0.25">
      <c r="A45" s="257" t="s">
        <v>489</v>
      </c>
      <c r="B45" s="258" t="s">
        <v>490</v>
      </c>
      <c r="C45" s="255" t="s">
        <v>425</v>
      </c>
      <c r="D45" s="255" t="s">
        <v>425</v>
      </c>
      <c r="E45" s="255">
        <v>45535</v>
      </c>
      <c r="F45" s="255">
        <v>45550</v>
      </c>
      <c r="G45" s="263" t="s">
        <v>588</v>
      </c>
      <c r="H45" s="263" t="s">
        <v>588</v>
      </c>
      <c r="I45" s="257" t="s">
        <v>589</v>
      </c>
      <c r="J45" s="257" t="s">
        <v>425</v>
      </c>
    </row>
    <row r="46" spans="1:10" ht="63" x14ac:dyDescent="0.25">
      <c r="A46" s="257" t="s">
        <v>491</v>
      </c>
      <c r="B46" s="258" t="s">
        <v>492</v>
      </c>
      <c r="C46" s="255" t="s">
        <v>425</v>
      </c>
      <c r="D46" s="255" t="s">
        <v>425</v>
      </c>
      <c r="E46" s="255" t="s">
        <v>425</v>
      </c>
      <c r="F46" s="255" t="s">
        <v>425</v>
      </c>
      <c r="G46" s="263" t="s">
        <v>425</v>
      </c>
      <c r="H46" s="263" t="s">
        <v>425</v>
      </c>
      <c r="I46" s="257"/>
      <c r="J46" s="257" t="s">
        <v>425</v>
      </c>
    </row>
    <row r="47" spans="1:10" x14ac:dyDescent="0.25">
      <c r="A47" s="257" t="s">
        <v>493</v>
      </c>
      <c r="B47" s="258" t="s">
        <v>494</v>
      </c>
      <c r="C47" s="255">
        <v>45219</v>
      </c>
      <c r="D47" s="255">
        <v>45234</v>
      </c>
      <c r="E47" s="255">
        <v>45551</v>
      </c>
      <c r="F47" s="255">
        <v>45558</v>
      </c>
      <c r="G47" s="263">
        <v>1</v>
      </c>
      <c r="H47" s="263">
        <v>1</v>
      </c>
      <c r="I47" s="257"/>
      <c r="J47" s="257" t="s">
        <v>425</v>
      </c>
    </row>
    <row r="48" spans="1:10" x14ac:dyDescent="0.25">
      <c r="A48" s="252">
        <v>4</v>
      </c>
      <c r="B48" s="254" t="s">
        <v>495</v>
      </c>
      <c r="C48" s="255">
        <v>45235</v>
      </c>
      <c r="D48" s="255">
        <v>45290</v>
      </c>
      <c r="E48" s="255">
        <v>45559</v>
      </c>
      <c r="F48" s="255">
        <v>45565</v>
      </c>
      <c r="G48" s="261">
        <v>1</v>
      </c>
      <c r="H48" s="261">
        <v>1</v>
      </c>
      <c r="I48" s="252"/>
      <c r="J48" s="252" t="s">
        <v>425</v>
      </c>
    </row>
    <row r="49" spans="1:10" ht="31.5" x14ac:dyDescent="0.25">
      <c r="A49" s="257" t="s">
        <v>496</v>
      </c>
      <c r="B49" s="258" t="s">
        <v>497</v>
      </c>
      <c r="C49" s="255">
        <v>45235</v>
      </c>
      <c r="D49" s="255">
        <v>45238</v>
      </c>
      <c r="E49" s="255">
        <v>45559</v>
      </c>
      <c r="F49" s="255">
        <v>45562</v>
      </c>
      <c r="G49" s="263" t="s">
        <v>588</v>
      </c>
      <c r="H49" s="263" t="s">
        <v>588</v>
      </c>
      <c r="I49" s="257" t="s">
        <v>589</v>
      </c>
      <c r="J49" s="257" t="s">
        <v>425</v>
      </c>
    </row>
    <row r="50" spans="1:10" ht="47.25" x14ac:dyDescent="0.25">
      <c r="A50" s="257" t="s">
        <v>498</v>
      </c>
      <c r="B50" s="258" t="s">
        <v>499</v>
      </c>
      <c r="C50" s="255" t="s">
        <v>425</v>
      </c>
      <c r="D50" s="255" t="s">
        <v>425</v>
      </c>
      <c r="E50" s="255" t="s">
        <v>425</v>
      </c>
      <c r="F50" s="255" t="s">
        <v>425</v>
      </c>
      <c r="G50" s="263" t="s">
        <v>425</v>
      </c>
      <c r="H50" s="263" t="s">
        <v>425</v>
      </c>
      <c r="I50" s="257"/>
      <c r="J50" s="257" t="s">
        <v>425</v>
      </c>
    </row>
    <row r="51" spans="1:10" ht="31.5" x14ac:dyDescent="0.25">
      <c r="A51" s="257" t="s">
        <v>500</v>
      </c>
      <c r="B51" s="258" t="s">
        <v>501</v>
      </c>
      <c r="C51" s="255" t="s">
        <v>425</v>
      </c>
      <c r="D51" s="255" t="s">
        <v>425</v>
      </c>
      <c r="E51" s="255" t="s">
        <v>425</v>
      </c>
      <c r="F51" s="255" t="s">
        <v>425</v>
      </c>
      <c r="G51" s="263" t="s">
        <v>425</v>
      </c>
      <c r="H51" s="263" t="s">
        <v>425</v>
      </c>
      <c r="I51" s="257"/>
      <c r="J51" s="257" t="s">
        <v>425</v>
      </c>
    </row>
    <row r="52" spans="1:10" ht="31.5" x14ac:dyDescent="0.25">
      <c r="A52" s="259" t="s">
        <v>502</v>
      </c>
      <c r="B52" s="258" t="s">
        <v>503</v>
      </c>
      <c r="C52" s="255" t="s">
        <v>425</v>
      </c>
      <c r="D52" s="255" t="s">
        <v>425</v>
      </c>
      <c r="E52" s="255" t="s">
        <v>425</v>
      </c>
      <c r="F52" s="255" t="s">
        <v>425</v>
      </c>
      <c r="G52" s="263" t="s">
        <v>425</v>
      </c>
      <c r="H52" s="263" t="s">
        <v>425</v>
      </c>
      <c r="I52" s="257"/>
      <c r="J52" s="257" t="s">
        <v>425</v>
      </c>
    </row>
    <row r="53" spans="1:10" ht="31.5" x14ac:dyDescent="0.25">
      <c r="A53" s="257" t="s">
        <v>504</v>
      </c>
      <c r="B53" s="264" t="s">
        <v>505</v>
      </c>
      <c r="C53" s="255">
        <v>45238</v>
      </c>
      <c r="D53" s="255">
        <v>45290</v>
      </c>
      <c r="E53" s="255">
        <v>45562</v>
      </c>
      <c r="F53" s="255">
        <v>45565</v>
      </c>
      <c r="G53" s="263" t="s">
        <v>588</v>
      </c>
      <c r="H53" s="263" t="s">
        <v>588</v>
      </c>
      <c r="I53" s="257" t="s">
        <v>589</v>
      </c>
      <c r="J53" s="257" t="s">
        <v>425</v>
      </c>
    </row>
    <row r="54" spans="1:10" x14ac:dyDescent="0.25">
      <c r="A54" s="257" t="s">
        <v>506</v>
      </c>
      <c r="B54" s="258" t="s">
        <v>507</v>
      </c>
      <c r="C54" s="255" t="s">
        <v>425</v>
      </c>
      <c r="D54" s="255" t="s">
        <v>425</v>
      </c>
      <c r="E54" s="255" t="s">
        <v>425</v>
      </c>
      <c r="F54" s="255" t="s">
        <v>425</v>
      </c>
      <c r="G54" s="263" t="s">
        <v>425</v>
      </c>
      <c r="H54" s="263" t="s">
        <v>425</v>
      </c>
      <c r="I54" s="257"/>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2024-11-14T09:33:08Z</dcterms:modified>
</cp:coreProperties>
</file>