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89A6A27C-1E4F-4187-935D-73398E91A79C}"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0"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AE39" i="5"/>
  <c r="B27" i="5"/>
  <c r="C27" i="5"/>
  <c r="AE52" i="5"/>
  <c r="AE82" i="5"/>
  <c r="AE85" i="5"/>
  <c r="AE73" i="5"/>
  <c r="AE72" i="5"/>
  <c r="AE80" i="5"/>
  <c r="AE83"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8" i="5" l="1"/>
  <c r="AE71" i="5"/>
  <c r="AE70" i="5"/>
  <c r="AE37" i="5"/>
  <c r="AE51" i="5"/>
  <c r="AE27" i="5"/>
  <c r="AE77" i="5"/>
  <c r="AE81" i="5"/>
  <c r="AE74" i="5"/>
  <c r="AE84" i="5"/>
  <c r="AE46" i="5"/>
  <c r="AE38" i="5"/>
  <c r="AE44" i="5"/>
  <c r="AE36" i="5"/>
  <c r="AE41" i="5"/>
  <c r="AE29" i="5"/>
  <c r="AE42" i="5"/>
  <c r="AE34" i="5"/>
  <c r="AE55" i="5"/>
  <c r="AE60" i="5"/>
  <c r="AE75" i="5"/>
  <c r="AE79" i="5"/>
  <c r="AE54"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<sst xmlns="http://schemas.openxmlformats.org/spreadsheetml/2006/main" count="4472" uniqueCount="578">
  <si>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</si>
  <si>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</si>
  <si>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</si>
  <si>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</si>
  <si>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</si>
  <si>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</si>
  <si>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</si>
  <si>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</si>
  <si>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</si>
  <si>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</si>
  <si>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</si>
  <si>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</si>
  <si>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</si>
  <si>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</si>
  <si>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</si>
  <si>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</si>
  <si>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</si>
  <si>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</si>
  <si>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</si>
  <si>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</si>
  <si>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</si>
  <si>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</si>
  <si>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</si>
  <si>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</si>
  <si>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</si>
  <si>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</si>
  <si>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</si>
  <si>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</si>
  <si>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</si>
  <si>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</si>
  <si>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</si>
  <si>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</si>
  <si>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</si>
  <si>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</si>
  <si>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</si>
  <si>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</si>
  <si>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</si>
  <si>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</si>
  <si>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</si>
  <si>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</si>
  <si>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</si>
  <si>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</si>
  <si>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</si>
  <si>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</si>
  <si>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</si>
  <si>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</si>
  <si>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</si>
  <si>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</si>
  <si>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</si>
  <si>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</si>
  <si>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</si>
  <si>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</si>
  <si>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</si>
  <si>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</si>
  <si>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</si>
  <si>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</si>
  <si>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</si>
  <si>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</si>
  <si>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</si>
  <si>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</si>
  <si>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</si>
  <si>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</si>
  <si>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</si>
  <si>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</si>
  <si>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</si>
  <si>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</si>
  <si>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</si>
  <si>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</si>
  <si>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</si>
  <si>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</si>
  <si>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</si>
  <si>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</si>
  <si>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</si>
  <si>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</si>
  <si>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</si>
  <si>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</si>
  <si>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</si>
  <si>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</si>
  <si>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</si>
  <si>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</si>
  <si>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</si>
  <si>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</si>
  <si>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</si>
  <si>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</si>
  <si>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</si>
  <si>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</si>
  <si>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</si>
  <si>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</si>
  <si>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</si>
  <si>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</si>
  <si>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</si>
  <si>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</si>
  <si>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</si>
  <si>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</si>
  <si>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</si>
  <si>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</si>
  <si>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</si>
  <si>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</si>
  <si>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</si>
  <si>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</si>
  <si>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</si>
  <si>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</si>
  <si>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</si>
  <si>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</si>
  <si>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</si>
  <si>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</si>
  <si>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</si>
  <si>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</si>
  <si>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</si>
  <si>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</si>
  <si>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</si>
  <si>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</si>
  <si>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</si>
  <si>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</si>
  <si>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</si>
  <si>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</si>
  <si>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</si>
  <si>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</si>
  <si>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</si>
  <si>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</si>
  <si>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</si>
  <si>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</si>
  <si>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</si>
  <si>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</si>
  <si>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</si>
  <si>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</si>
  <si>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</si>
  <si>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</si>
  <si>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</si>
  <si>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</si>
  <si>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</si>
  <si>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</si>
  <si>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</si>
  <si>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</si>
  <si>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</si>
  <si>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</si>
  <si>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</si>
  <si>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</si>
  <si>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</si>
  <si>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</si>
  <si>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</si>
  <si>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</si>
  <si>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</si>
  <si>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</si>
  <si>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</si>
  <si>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</si>
  <si>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</si>
  <si>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</si>
  <si>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</si>
  <si>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</si>
  <si>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</si>
  <si>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</si>
  <si>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</si>
  <si>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</si>
  <si>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</si>
  <si>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</si>
  <si>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</si>
  <si>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</si>
  <si>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</si>
  <si>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</si>
  <si>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</si>
  <si>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</si>
  <si>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</si>
  <si>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</si>
  <si>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</si>
  <si>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</si>
  <si>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</si>
  <si>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</si>
  <si>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</si>
  <si>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</si>
  <si>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</si>
  <si>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</si>
  <si>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</si>
  <si>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</si>
  <si>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</si>
  <si>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</si>
  <si>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</si>
  <si>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</si>
  <si>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</si>
  <si>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</si>
  <si>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</si>
  <si>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</si>
  <si>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</si>
  <si>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</si>
  <si>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</si>
  <si>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</si>
  <si>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</si>
  <si>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</si>
  <si>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</si>
  <si>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</si>
  <si>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</si>
  <si>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</si>
  <si>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</si>
  <si>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</si>
  <si>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</si>
  <si>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</si>
  <si>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</si>
  <si>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</si>
  <si>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</si>
  <si>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</si>
  <si>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</si>
  <si>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</si>
  <si>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</si>
  <si>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</si>
  <si>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</si>
  <si>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</si>
  <si>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</si>
  <si>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</si>
  <si>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</si>
  <si>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</si>
  <si>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</si>
  <si>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</si>
  <si>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</si>
  <si>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</si>
  <si>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</si>
  <si>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</si>
  <si>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</si>
  <si>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</si>
  <si>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</si>
  <si>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</si>
  <si>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</si>
  <si>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</si>
  <si>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</si>
  <si>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</si>
  <si>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</si>
  <si>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</si>
  <si>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</si>
  <si>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</si>
  <si>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</si>
  <si>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</si>
  <si>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</si>
  <si>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</si>
  <si>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</si>
  <si>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</si>
  <si>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</si>
  <si>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</si>
  <si>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</si>
  <si>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</si>
  <si>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</si>
  <si>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</si>
  <si>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</si>
  <si>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</si>
  <si>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</si>
  <si>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</si>
  <si>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</si>
  <si>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</si>
  <si>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</si>
  <si>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</si>
  <si>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</si>
  <si>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</si>
  <si>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</si>
  <si>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</si>
  <si>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</si>
  <si>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</si>
  <si>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</si>
  <si>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</si>
  <si>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</si>
  <si>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</si>
  <si>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</si>
  <si>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</si>
  <si>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</si>
  <si>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</si>
  <si>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</si>
  <si>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</si>
  <si>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</si>
  <si>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</si>
  <si>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</si>
  <si>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</si>
  <si>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</si>
  <si>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</si>
  <si>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</si>
  <si>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</si>
  <si>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</si>
  <si>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</si>
  <si>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</si>
  <si>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</si>
  <si>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</si>
  <si>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</si>
  <si>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</si>
  <si>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</si>
  <si>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</si>
  <si>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</si>
  <si>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</si>
  <si>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</si>
  <si>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</si>
  <si>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</si>
  <si>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</si>
  <si>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</si>
  <si>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</si>
  <si>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</si>
  <si>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</si>
  <si>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</si>
  <si>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</si>
  <si>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</si>
  <si>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</si>
  <si>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</si>
  <si>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</si>
  <si>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</si>
  <si>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</si>
  <si>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</si>
  <si>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</si>
  <si>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</si>
  <si>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</si>
  <si>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</si>
  <si>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</si>
  <si>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</si>
  <si>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</si>
  <si>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</si>
  <si>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</si>
  <si>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</si>
  <si>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</si>
  <si>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</si>
  <si>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</si>
  <si>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</si>
  <si>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</si>
  <si>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</si>
  <si>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</si>
  <si>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</si>
  <si>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</si>
  <si>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</si>
  <si>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</si>
  <si>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</si>
  <si>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</si>
  <si>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</si>
  <si>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</si>
  <si>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</si>
  <si>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</si>
  <si>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</si>
  <si>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</si>
  <si>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</si>
  <si>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</si>
  <si>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</si>
  <si>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</si>
  <si>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</si>
  <si>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</si>
  <si>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</si>
  <si>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</si>
  <si>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</si>
  <si>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</si>
  <si>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</si>
  <si>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</si>
  <si>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</si>
  <si>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</si>
  <si>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</si>
  <si>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</si>
  <si>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</si>
  <si>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</si>
  <si>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</si>
  <si>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</si>
  <si>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</si>
  <si>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</si>
  <si>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</si>
  <si>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</si>
  <si>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</si>
  <si>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</si>
  <si>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</si>
  <si>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</si>
  <si>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</si>
  <si>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</si>
  <si>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</si>
  <si>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</si>
  <si>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</si>
  <si>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</si>
  <si>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</si>
  <si>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</si>
  <si>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</si>
  <si>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</si>
  <si>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</si>
  <si>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</si>
  <si>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</si>
  <si>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</si>
  <si>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</si>
  <si>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</si>
  <si>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</si>
  <si>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</si>
  <si>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</si>
  <si>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</si>
  <si>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</si>
  <si>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</si>
  <si>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</si>
  <si>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</si>
  <si>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</si>
  <si>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</si>
  <si>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</si>
  <si>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</si>
  <si>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</si>
  <si>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</si>
  <si>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</si>
  <si>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</si>
  <si>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</si>
  <si>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</si>
  <si>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</si>
  <si>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</si>
  <si>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</si>
  <si>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</si>
  <si>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</si>
  <si>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</si>
  <si>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</si>
  <si>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</si>
  <si>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</si>
  <si>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</si>
  <si>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</si>
  <si>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</si>
  <si>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</si>
  <si>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</si>
  <si>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</si>
  <si>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</si>
  <si>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</si>
  <si>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</si>
  <si>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</si>
  <si>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</si>
  <si>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</si>
  <si>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</si>
  <si>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</si>
  <si>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</si>
  <si>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</si>
  <si>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</si>
  <si>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</si>
  <si>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</si>
  <si>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</si>
  <si>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</si>
  <si>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</si>
  <si>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</si>
  <si>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</si>
  <si>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</si>
  <si>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</si>
  <si>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</si>
  <si>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</si>
  <si>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</si>
  <si>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</si>
  <si>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</si>
  <si>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</si>
  <si>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</si>
  <si>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</si>
  <si>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</si>
  <si>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</si>
  <si>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</si>
  <si>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</si>
  <si>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</si>
  <si>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</si>
  <si>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</si>
  <si>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</si>
  <si>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</si>
  <si>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</si>
  <si>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</si>
  <si>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</si>
  <si>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</si>
  <si>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M_00.0003.000003</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</si>
  <si>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</si>
  <si>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</si>
  <si>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</si>
  <si>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</si>
  <si>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</si>
  <si>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</si>
  <si>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</si>
  <si>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</si>
  <si>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</si>
  <si>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</si>
  <si>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</si>
  <si>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</si>
  <si>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</si>
  <si>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</si>
  <si>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</si>
  <si>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</si>
  <si>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</si>
  <si>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</si>
  <si>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</si>
  <si>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</si>
  <si>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</si>
  <si>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</si>
  <si>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</si>
  <si>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</si>
  <si>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</si>
  <si>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</si>
  <si>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</si>
  <si>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</si>
  <si>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</si>
  <si>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</si>
  <si>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</si>
  <si>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</si>
  <si>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</si>
  <si>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</si>
  <si>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</si>
  <si>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</si>
  <si>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</si>
  <si>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</si>
  <si>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</si>
  <si>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</si>
  <si>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</si>
  <si>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</si>
  <si>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</si>
  <si>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</si>
  <si>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</si>
  <si>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</si>
  <si>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</si>
  <si>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</si>
  <si>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</si>
  <si>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</si>
  <si>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</si>
  <si>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</si>
  <si>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</si>
  <si>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</si>
  <si>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</si>
  <si>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</si>
  <si>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</si>
  <si>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</si>
  <si>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</si>
  <si>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</si>
  <si>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экономией по факту выполненных работ. Смещение сроков выполнения работ по устройствам РЗА обусловлено длительной поставкой устройств РЗА и не возможностью выполнения работ в период ОЗП</t>
  </si>
  <si>
    <t>СМР, ПНР</t>
  </si>
  <si>
    <t>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</si>
  <si>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</si>
  <si>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</si>
  <si>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Конкурс в электронной форме</t>
  </si>
  <si>
    <t>АКЦИОНЕРНОЕ ОБЩЕСТВО "РЕМОНТЭНЕРГОМОНТАЖ И СЕРВИС";
ОБЩЕСТВО С ОГРАНИЧЕННОЙ ОТВЕТСТВЕННОСТЬЮ "ВЕЛЛЭНЕРДЖИ"</t>
  </si>
  <si>
    <t>32 260,05;
32 260,05</t>
  </si>
  <si>
    <t>-</t>
  </si>
  <si>
    <t>32098,74975;
32 260,05</t>
  </si>
  <si>
    <t>АКЦИОНЕРНОЕ ОБЩЕСТВО "РЕМОНТЭНЕРГОМОНТАЖ И СЕРВИС"</t>
  </si>
  <si>
    <t>да</t>
  </si>
  <si>
    <t>https://com.roseltorg.ru/</t>
  </si>
  <si>
    <t>ИП</t>
  </si>
  <si>
    <t>СМР</t>
  </si>
  <si>
    <t>АО "РЭМиС"</t>
  </si>
  <si>
    <t>ИП-23-00029 от 28.02.2023</t>
  </si>
  <si>
    <t>ПИР</t>
  </si>
  <si>
    <t xml:space="preserve">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t>
  </si>
  <si>
    <t>ОБЩЕСТВО С ОГРАНИЧЕННОЙ ОТВЕТСТВЕННОСТЬЮ "ПРОЕКТНЫЙ ЦЕНТР СИБИРИ";
ОБЩЕСТВО С ОГРАНИЧЕННОЙ ОТВЕТСТВЕННОСТЬЮ "ЭНЕРДЖИ  ПРОЕКТ";
ОБЩЕСТВО С ОГРАНИЧЕННОЙ ОТВЕТСТВЕННОСТЬЮ "ПРАЙМЭНЕРГОИНЖИНИРИНГ";
ОБЩЕСТВО С ОГРАНИЧЕННОЙ ОТВЕТСТВЕННОСТЬЮ ПРОЕКТНЫЙ ЦЕНТР "ЭКРА"</t>
  </si>
  <si>
    <t>5 958,9; 5 958,8; 5 363,01; 5 958,9</t>
  </si>
  <si>
    <t>5 338,18; 5 089,89; 5 363,01; 5 958,9</t>
  </si>
  <si>
    <t>ОБЩЕСТВО С ОГРАНИЧЕННОЙ ОТВЕТСТВЕННОСТЬЮ "ПРОЕКТНЫЙ ЦЕНТР СИБИРИ"</t>
  </si>
  <si>
    <t>ООО "ПЦ Сибири"</t>
  </si>
  <si>
    <t>ИП-22-00125 от 19.05.2022</t>
  </si>
  <si>
    <t>ТМЦ</t>
  </si>
  <si>
    <t>Поставка линейно-регулировочных трансформаторов</t>
  </si>
  <si>
    <t>"Электромагистраль"</t>
  </si>
  <si>
    <t>Конкурентные переговоры в электронной форме</t>
  </si>
  <si>
    <t>ОБЩЕСТВО С ОГРАНИЧЕННОЙ 
ОТВЕТСТВЕННОСТЬЮ "ОСТЕРОН"; ОБЩЕСТВО С ОГРАНИЧЕННОЙ
ОТВЕТСТВЕННОСТЬЮ "ТОЛЬЯТТИНСКИЙ
ТРАНСФОРМАТОР"; ОБЩЕСТВО С ОГРАНИЧЕННОЙ 
ОТВЕТСТВЕННОСТЬЮ "ПМК ХОЛДИНГ"; ОБЩЕСТВО С ОГРАНИЧЕННОЙ 
ОТВЕТСТВЕННОСТЬЮ "СВЕРДЛОВЭЛЕКТРО- 
СИЛОВЫЕ ТРАНСФОРМАТОРЫ"</t>
  </si>
  <si>
    <t>48201,00; 48350,00; 48351,00; 48351,00</t>
  </si>
  <si>
    <t>47025,00; 47475,00; 48351,00; 47311,67</t>
  </si>
  <si>
    <t>ООО "Остерон"</t>
  </si>
  <si>
    <t>https://www.roseltorg.ru/</t>
  </si>
  <si>
    <t>ПД</t>
  </si>
  <si>
    <t>ПД-19-00437 от 04.02.2020</t>
  </si>
  <si>
    <t>1.2.1.2 Модернизация, техническое перевооружение трансформаторных и иных подстанций, распределительных пунктов</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</si>
  <si>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</si>
  <si>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реконструкция</t>
  </si>
  <si>
    <t>Проектно-сметная документация утвержденная приказами: № 775 от 02.11.2022; 
№ 775/1 от 11.09.2023</t>
  </si>
  <si>
    <t>г. Искитим</t>
  </si>
  <si>
    <t>не требуется</t>
  </si>
  <si>
    <t>не относится</t>
  </si>
  <si>
    <t>+</t>
  </si>
  <si>
    <t>7,12 МВА</t>
  </si>
  <si>
    <t xml:space="preserve">1. Обеспечение требований к надежности энергоснабжения и качеству электрической энергии устанавливаемыми в соответствии с законодательством Российской Федерации:
 - правила технической эксплуатации электрических станций и сетей РФ, утвержденные Приказом Минэнерго РФ от 19.06.2003 №229;
 - ГОСТ 32144-2013.
</t>
  </si>
  <si>
    <t xml:space="preserve">Установка ЛРТ на ПС позволит:
- осуществить возможность регулирования напряжения на шинах 10 кВ, что позволит обеспечить соответствующее качество электрической энергии поставляемой потребителю в соответствии с ГОСТ 32144-2013;  
- обеспечить требуемую категорию надежности электроснабжения потребителей путём питания ЗРУ-10 кВ от двух независимых источников питания, с возможностью использования АРВ на шинах 10 кВ.
</t>
  </si>
  <si>
    <t>ПС 220 кВ Южная</t>
  </si>
  <si>
    <t>47537,07 тыс. руб. с НДС на 1 ЛРТ 16 МВА</t>
  </si>
  <si>
    <t>1 очередь 1-го этапа - установка 1ЛРТ;
2 очередь 1-го этапа - установка 2ЛРТ;
3 очередь 1-го этапа - демонтаж 3Т-16.</t>
  </si>
  <si>
    <t>1. Жалобы потребителей в надзорные органы на низкое качество электроэнергии.
2. Нарушение категорийности электроснабжения существующих потребителей ПС 220 кВ Южная.
3. Отсуствие возможности вывода в ремонт выключателя 110 кВ без отключения ВЛ 110 кВ (ОВ-110 занят 3Т-16)</t>
  </si>
  <si>
    <t>1С, 2П</t>
  </si>
  <si>
    <t>Сибирский Федеральный округ, Новосибирская область, г. Искитим</t>
  </si>
  <si>
    <t>Трансформатор масляный</t>
  </si>
  <si>
    <t>ТДН</t>
  </si>
  <si>
    <t>3Т</t>
  </si>
  <si>
    <t>110</t>
  </si>
  <si>
    <t>РБДГ-10</t>
  </si>
  <si>
    <t>РБА-1АТ</t>
  </si>
  <si>
    <t>РБА-2АТ</t>
  </si>
  <si>
    <t/>
  </si>
  <si>
    <t>1;2;3;4</t>
  </si>
  <si>
    <t>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t>
  </si>
  <si>
    <t>Конкурс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</si>
  <si>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"ЭКРА-СИБИРЬ"</t>
  </si>
  <si>
    <t>ПД-24-00190 от 10.09.2024</t>
  </si>
  <si>
    <t>КВЛ по состоянию на 01.10.2024, тыс. руб. без НДС (без ФОТ)</t>
  </si>
  <si>
    <t>ФИН по состоянию на 01.10.2024, тыс. руб. с НДС (без взаимозачетов)</t>
  </si>
  <si>
    <t>90%</t>
  </si>
  <si>
    <t>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</si>
</sst>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
      <sz val="8"/>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9"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448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544</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545</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548</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549</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549</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549</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549</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549</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550</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549</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549</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549</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551</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549</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v>95.074149486378744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1.4505970055099218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552</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12.260197834271999</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0</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M_00.0003.000003</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450</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444</v>
      </c>
      <c r="I21" s="447"/>
      <c r="J21" s="446" t="s">
        <v>445</v>
      </c>
      <c r="K21" s="446"/>
      <c r="L21" s="447" t="s">
        <v>444</v>
      </c>
      <c r="M21" s="447"/>
      <c r="N21" s="446" t="s">
        <v>445</v>
      </c>
      <c r="O21" s="446"/>
      <c r="P21" s="445" t="s">
        <v>1</v>
      </c>
      <c r="Q21" s="445"/>
      <c r="R21" s="446" t="s">
        <v>445</v>
      </c>
      <c r="S21" s="446"/>
      <c r="T21" s="445" t="s">
        <v>1</v>
      </c>
      <c r="U21" s="445"/>
      <c r="V21" s="446" t="s">
        <v>445</v>
      </c>
      <c r="W21" s="446"/>
      <c r="X21" s="445" t="s">
        <v>1</v>
      </c>
      <c r="Y21" s="445"/>
      <c r="Z21" s="446" t="s">
        <v>445</v>
      </c>
      <c r="AA21" s="446"/>
      <c r="AB21" s="462"/>
      <c r="AC21" s="463"/>
    </row>
    <row r="22" spans="1:32" ht="89.25" customHeight="1" x14ac:dyDescent="0.25">
      <c r="A22" s="457"/>
      <c r="B22" s="457"/>
      <c r="C22" s="274" t="str">
        <f>H21</f>
        <v>Утвержденный план</v>
      </c>
      <c r="D22" s="283" t="s">
        <v>445</v>
      </c>
      <c r="E22" s="287" t="s">
        <v>446</v>
      </c>
      <c r="F22" s="287" t="s">
        <v>449</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96.224016325267996</v>
      </c>
      <c r="D24" s="279">
        <f t="shared" si="0"/>
        <v>95.074149486378744</v>
      </c>
      <c r="E24" s="284">
        <f t="shared" si="0"/>
        <v>14.001090028789555</v>
      </c>
      <c r="F24" s="284">
        <f t="shared" si="0"/>
        <v>5.915354182182254</v>
      </c>
      <c r="G24" s="267">
        <f t="shared" si="0"/>
        <v>8.0857358466073013</v>
      </c>
      <c r="H24" s="267">
        <f t="shared" si="0"/>
        <v>12.260197834271999</v>
      </c>
      <c r="I24" s="267" t="s">
        <v>425</v>
      </c>
      <c r="J24" s="279">
        <f t="shared" ref="J24:N24" si="1">J25+J26+J27+J32+J33</f>
        <v>5.915354182182254</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12.260197834271999</v>
      </c>
      <c r="AC24" s="284">
        <f>AC25+AC26+AC27+AC32+AC33</f>
        <v>5.915354182182254</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80.577018540873212</v>
      </c>
      <c r="D27" s="279">
        <v>79.43530427848799</v>
      </c>
      <c r="E27" s="285">
        <f>J27+N27+G27+P27+T27+X27</f>
        <v>12.874901797772054</v>
      </c>
      <c r="F27" s="285">
        <f t="shared" si="8"/>
        <v>4.9533081914107528</v>
      </c>
      <c r="G27" s="267">
        <v>7.9215936063613013</v>
      </c>
      <c r="H27" s="267">
        <f>SUM(H28:H31)</f>
        <v>10.21683152856</v>
      </c>
      <c r="I27" s="267" t="s">
        <v>425</v>
      </c>
      <c r="J27" s="279">
        <f t="shared" ref="J27" si="9">SUM(J28:J31)</f>
        <v>4.9533081914107528</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10.21683152856</v>
      </c>
      <c r="AC27" s="284">
        <f>J27+N27+R27+V27+Z27</f>
        <v>4.9533081914107528</v>
      </c>
    </row>
    <row r="28" spans="1:32" x14ac:dyDescent="0.25">
      <c r="A28" s="58" t="s">
        <v>426</v>
      </c>
      <c r="B28" s="42" t="s">
        <v>168</v>
      </c>
      <c r="C28" s="268" t="s">
        <v>425</v>
      </c>
      <c r="D28" s="281" t="s">
        <v>425</v>
      </c>
      <c r="E28" s="281" t="s">
        <v>425</v>
      </c>
      <c r="F28" s="281" t="s">
        <v>425</v>
      </c>
      <c r="G28" s="266" t="s">
        <v>425</v>
      </c>
      <c r="H28" s="266">
        <v>0</v>
      </c>
      <c r="I28" s="268" t="s">
        <v>568</v>
      </c>
      <c r="J28" s="280">
        <v>0</v>
      </c>
      <c r="K28" s="281" t="s">
        <v>568</v>
      </c>
      <c r="L28" s="266">
        <v>0</v>
      </c>
      <c r="M28" s="268" t="s">
        <v>568</v>
      </c>
      <c r="N28" s="280">
        <v>0</v>
      </c>
      <c r="O28" s="281" t="s">
        <v>568</v>
      </c>
      <c r="P28" s="154">
        <v>0</v>
      </c>
      <c r="Q28" s="154" t="s">
        <v>568</v>
      </c>
      <c r="R28" s="280">
        <v>0</v>
      </c>
      <c r="S28" s="281">
        <v>0</v>
      </c>
      <c r="T28" s="154">
        <v>0</v>
      </c>
      <c r="U28" s="154" t="s">
        <v>568</v>
      </c>
      <c r="V28" s="280">
        <v>0</v>
      </c>
      <c r="W28" s="281">
        <v>0</v>
      </c>
      <c r="X28" s="154">
        <v>0</v>
      </c>
      <c r="Y28" s="154" t="s">
        <v>568</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2.08635749301</v>
      </c>
      <c r="I29" s="268" t="s">
        <v>63</v>
      </c>
      <c r="J29" s="280">
        <v>2.2250601760896078</v>
      </c>
      <c r="K29" s="281" t="s">
        <v>59</v>
      </c>
      <c r="L29" s="266">
        <v>0</v>
      </c>
      <c r="M29" s="268" t="s">
        <v>568</v>
      </c>
      <c r="N29" s="280">
        <v>0</v>
      </c>
      <c r="O29" s="281" t="s">
        <v>568</v>
      </c>
      <c r="P29" s="154">
        <v>0</v>
      </c>
      <c r="Q29" s="288" t="s">
        <v>568</v>
      </c>
      <c r="R29" s="280">
        <v>0</v>
      </c>
      <c r="S29" s="281">
        <v>0</v>
      </c>
      <c r="T29" s="154">
        <v>0</v>
      </c>
      <c r="U29" s="154" t="s">
        <v>568</v>
      </c>
      <c r="V29" s="280">
        <v>0</v>
      </c>
      <c r="W29" s="281">
        <v>0</v>
      </c>
      <c r="X29" s="154">
        <v>0</v>
      </c>
      <c r="Y29" s="154" t="s">
        <v>568</v>
      </c>
      <c r="Z29" s="280">
        <v>0</v>
      </c>
      <c r="AA29" s="281">
        <v>0</v>
      </c>
      <c r="AB29" s="267">
        <f t="shared" si="17"/>
        <v>2.08635749301</v>
      </c>
      <c r="AC29" s="284">
        <f>J29+N29+R29+V29+Z29</f>
        <v>2.2250601760896078</v>
      </c>
      <c r="AD29" s="213"/>
      <c r="AE29" s="269"/>
    </row>
    <row r="30" spans="1:32" x14ac:dyDescent="0.25">
      <c r="A30" s="58" t="s">
        <v>428</v>
      </c>
      <c r="B30" s="42" t="s">
        <v>164</v>
      </c>
      <c r="C30" s="268" t="s">
        <v>425</v>
      </c>
      <c r="D30" s="281" t="s">
        <v>425</v>
      </c>
      <c r="E30" s="281" t="s">
        <v>425</v>
      </c>
      <c r="F30" s="281" t="s">
        <v>425</v>
      </c>
      <c r="G30" s="266" t="s">
        <v>425</v>
      </c>
      <c r="H30" s="266">
        <v>5.8172572607250004</v>
      </c>
      <c r="I30" s="268" t="s">
        <v>63</v>
      </c>
      <c r="J30" s="280">
        <v>0</v>
      </c>
      <c r="K30" s="281" t="s">
        <v>568</v>
      </c>
      <c r="L30" s="266">
        <v>0</v>
      </c>
      <c r="M30" s="268" t="s">
        <v>568</v>
      </c>
      <c r="N30" s="280">
        <v>0</v>
      </c>
      <c r="O30" s="281" t="s">
        <v>568</v>
      </c>
      <c r="P30" s="154">
        <v>0</v>
      </c>
      <c r="Q30" s="154" t="s">
        <v>568</v>
      </c>
      <c r="R30" s="280">
        <v>0</v>
      </c>
      <c r="S30" s="281">
        <v>0</v>
      </c>
      <c r="T30" s="154">
        <v>0</v>
      </c>
      <c r="U30" s="154" t="s">
        <v>568</v>
      </c>
      <c r="V30" s="280">
        <v>0</v>
      </c>
      <c r="W30" s="281">
        <v>0</v>
      </c>
      <c r="X30" s="154">
        <v>0</v>
      </c>
      <c r="Y30" s="154" t="s">
        <v>568</v>
      </c>
      <c r="Z30" s="280">
        <v>0</v>
      </c>
      <c r="AA30" s="281">
        <v>0</v>
      </c>
      <c r="AB30" s="267">
        <f t="shared" si="17"/>
        <v>5.8172572607250004</v>
      </c>
      <c r="AC30" s="284">
        <f>J30+N30+R30+V30+Z30</f>
        <v>0</v>
      </c>
      <c r="AD30" s="213"/>
      <c r="AE30" s="269"/>
    </row>
    <row r="31" spans="1:32" x14ac:dyDescent="0.25">
      <c r="A31" s="58" t="s">
        <v>429</v>
      </c>
      <c r="B31" s="42" t="s">
        <v>162</v>
      </c>
      <c r="C31" s="268" t="s">
        <v>425</v>
      </c>
      <c r="D31" s="281" t="s">
        <v>425</v>
      </c>
      <c r="E31" s="281" t="s">
        <v>425</v>
      </c>
      <c r="F31" s="281" t="s">
        <v>425</v>
      </c>
      <c r="G31" s="266" t="s">
        <v>425</v>
      </c>
      <c r="H31" s="266">
        <v>2.3132167748249999</v>
      </c>
      <c r="I31" s="268" t="s">
        <v>63</v>
      </c>
      <c r="J31" s="280">
        <v>2.728248015321145</v>
      </c>
      <c r="K31" s="281" t="s">
        <v>569</v>
      </c>
      <c r="L31" s="266">
        <v>0</v>
      </c>
      <c r="M31" s="268" t="s">
        <v>568</v>
      </c>
      <c r="N31" s="280">
        <v>0</v>
      </c>
      <c r="O31" s="281" t="s">
        <v>568</v>
      </c>
      <c r="P31" s="154">
        <v>0</v>
      </c>
      <c r="Q31" s="154" t="s">
        <v>568</v>
      </c>
      <c r="R31" s="280">
        <v>0</v>
      </c>
      <c r="S31" s="281">
        <v>0</v>
      </c>
      <c r="T31" s="154">
        <v>0</v>
      </c>
      <c r="U31" s="154" t="s">
        <v>568</v>
      </c>
      <c r="V31" s="280">
        <v>0</v>
      </c>
      <c r="W31" s="281">
        <v>0</v>
      </c>
      <c r="X31" s="154">
        <v>0</v>
      </c>
      <c r="Y31" s="154" t="s">
        <v>568</v>
      </c>
      <c r="Z31" s="280">
        <v>0</v>
      </c>
      <c r="AA31" s="281">
        <v>0</v>
      </c>
      <c r="AB31" s="267">
        <f t="shared" si="17"/>
        <v>2.3132167748249999</v>
      </c>
      <c r="AC31" s="284">
        <f>J31+N31+R31+V31+Z31</f>
        <v>2.728248015321145</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15.646997784394786</v>
      </c>
      <c r="D33" s="280">
        <v>15.638845207890757</v>
      </c>
      <c r="E33" s="285">
        <f>J33+N33+G33+P33+T33+X33</f>
        <v>1.1261882310175013</v>
      </c>
      <c r="F33" s="285">
        <f t="shared" ref="F33" si="18">E33-G33</f>
        <v>0.96204599077150132</v>
      </c>
      <c r="G33" s="266">
        <v>0.16414224024600002</v>
      </c>
      <c r="H33" s="266">
        <v>2.0433663057119995</v>
      </c>
      <c r="I33" s="266" t="str">
        <f>I31</f>
        <v>1</v>
      </c>
      <c r="J33" s="280">
        <v>0.96204599077150121</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2.0433663057119995</v>
      </c>
      <c r="AC33" s="280">
        <f>Z33+N33+J33+R33+V33</f>
        <v>0.96204599077150121</v>
      </c>
    </row>
    <row r="34" spans="1:30" ht="47.25" x14ac:dyDescent="0.25">
      <c r="A34" s="60" t="s">
        <v>61</v>
      </c>
      <c r="B34" s="59" t="s">
        <v>170</v>
      </c>
      <c r="C34" s="267">
        <f>SUM(C35:C38)</f>
        <v>80.581642517643331</v>
      </c>
      <c r="D34" s="279">
        <f t="shared" ref="D34:G34" si="19">SUM(D35:D38)</f>
        <v>79.457054762039874</v>
      </c>
      <c r="E34" s="285">
        <f t="shared" ref="E34" si="20">J34+N34+G34+P34+T34+X34</f>
        <v>11.725811862039876</v>
      </c>
      <c r="F34" s="279">
        <f t="shared" si="19"/>
        <v>4.9716901048714544</v>
      </c>
      <c r="G34" s="267">
        <f t="shared" si="19"/>
        <v>6.7541217571684218</v>
      </c>
      <c r="H34" s="267">
        <f>SUM(H35:H38)</f>
        <v>0</v>
      </c>
      <c r="I34" s="267" t="s">
        <v>425</v>
      </c>
      <c r="J34" s="279">
        <f t="shared" ref="J34" si="21">SUM(J35:J38)</f>
        <v>4.9716901048714544</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0</v>
      </c>
      <c r="AC34" s="284">
        <f>J34+N34+R34+V34+Z34</f>
        <v>4.9716901048714544</v>
      </c>
      <c r="AD34" s="213"/>
    </row>
    <row r="35" spans="1:30" x14ac:dyDescent="0.25">
      <c r="A35" s="60" t="s">
        <v>169</v>
      </c>
      <c r="B35" s="42" t="s">
        <v>168</v>
      </c>
      <c r="C35" s="266">
        <v>3.489801834563333</v>
      </c>
      <c r="D35" s="280">
        <v>3.4983266878999992</v>
      </c>
      <c r="E35" s="285">
        <f>J35+N35+G35+P35+T35+X35</f>
        <v>0.82923605789999999</v>
      </c>
      <c r="F35" s="285">
        <f>E35-G35</f>
        <v>0</v>
      </c>
      <c r="G35" s="266">
        <v>0.82923605789999999</v>
      </c>
      <c r="H35" s="266">
        <v>0</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18.16901088801</v>
      </c>
      <c r="D36" s="280">
        <v>28.118715351030399</v>
      </c>
      <c r="E36" s="285">
        <f>J36+N36+G36+P36+T36+X36</f>
        <v>2.2143482210303995</v>
      </c>
      <c r="F36" s="285">
        <f t="shared" ref="F36:F37" si="30">E36-G36</f>
        <v>2.2143482210303995</v>
      </c>
      <c r="G36" s="266">
        <v>0</v>
      </c>
      <c r="H36" s="266">
        <v>0</v>
      </c>
      <c r="I36" s="266">
        <v>0</v>
      </c>
      <c r="J36" s="280">
        <v>2.2143482210303995</v>
      </c>
      <c r="K36" s="281" t="s">
        <v>59</v>
      </c>
      <c r="L36" s="266">
        <v>0</v>
      </c>
      <c r="M36" s="266" t="s">
        <v>59</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0</v>
      </c>
      <c r="AC36" s="284">
        <f>J36+N36+R36+V36+Z36</f>
        <v>2.2143482210303995</v>
      </c>
    </row>
    <row r="37" spans="1:30" x14ac:dyDescent="0.25">
      <c r="A37" s="60" t="s">
        <v>165</v>
      </c>
      <c r="B37" s="42" t="s">
        <v>164</v>
      </c>
      <c r="C37" s="266">
        <v>52.661808780724996</v>
      </c>
      <c r="D37" s="280">
        <v>43.155458289249999</v>
      </c>
      <c r="E37" s="285">
        <f>J37+N37+G37+P37+T37+X37</f>
        <v>5.8776820292500007</v>
      </c>
      <c r="F37" s="285">
        <f t="shared" si="30"/>
        <v>0</v>
      </c>
      <c r="G37" s="266">
        <v>5.8776820292500007</v>
      </c>
      <c r="H37" s="266">
        <v>0</v>
      </c>
      <c r="I37" s="266">
        <v>0</v>
      </c>
      <c r="J37" s="280">
        <v>0</v>
      </c>
      <c r="K37" s="281">
        <v>0</v>
      </c>
      <c r="L37" s="266">
        <v>0</v>
      </c>
      <c r="M37" s="266" t="s">
        <v>569</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0</v>
      </c>
      <c r="AC37" s="284">
        <f>J37+N37+R37+V37+Z37</f>
        <v>0</v>
      </c>
    </row>
    <row r="38" spans="1:30" x14ac:dyDescent="0.25">
      <c r="A38" s="60" t="s">
        <v>163</v>
      </c>
      <c r="B38" s="42" t="s">
        <v>162</v>
      </c>
      <c r="C38" s="266">
        <v>6.2610210143449994</v>
      </c>
      <c r="D38" s="280">
        <v>4.6845544338594767</v>
      </c>
      <c r="E38" s="285">
        <f>J38+N38+G38+P38+T38+X38</f>
        <v>2.8045455538594761</v>
      </c>
      <c r="F38" s="285">
        <f>E38-G38</f>
        <v>2.7573418838410553</v>
      </c>
      <c r="G38" s="266">
        <v>4.7203670018421039E-2</v>
      </c>
      <c r="H38" s="266">
        <v>0</v>
      </c>
      <c r="I38" s="266">
        <v>0</v>
      </c>
      <c r="J38" s="280">
        <v>2.7573418838410553</v>
      </c>
      <c r="K38" s="281" t="s">
        <v>569</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0</v>
      </c>
      <c r="AC38" s="284">
        <f>J38+N38+R38+V38+Z38</f>
        <v>2.7573418838410553</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11</v>
      </c>
      <c r="D46" s="280">
        <v>11</v>
      </c>
      <c r="E46" s="285">
        <f t="shared" si="31"/>
        <v>6</v>
      </c>
      <c r="F46" s="285">
        <f>E46-G46</f>
        <v>6</v>
      </c>
      <c r="G46" s="266">
        <v>0</v>
      </c>
      <c r="H46" s="266">
        <v>0</v>
      </c>
      <c r="I46" s="268">
        <v>0</v>
      </c>
      <c r="J46" s="280">
        <v>6</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0</v>
      </c>
      <c r="AC46" s="284">
        <f t="shared" si="32"/>
        <v>6</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11</v>
      </c>
      <c r="D54" s="280">
        <v>11</v>
      </c>
      <c r="E54" s="285">
        <f t="shared" si="34"/>
        <v>6</v>
      </c>
      <c r="F54" s="285">
        <f t="shared" si="33"/>
        <v>6</v>
      </c>
      <c r="G54" s="266">
        <v>0</v>
      </c>
      <c r="H54" s="266">
        <v>0</v>
      </c>
      <c r="I54" s="268">
        <v>0</v>
      </c>
      <c r="J54" s="280">
        <v>6</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0</v>
      </c>
      <c r="AC54" s="284">
        <f t="shared" si="35"/>
        <v>6</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80.581642517643346</v>
      </c>
      <c r="D56" s="280">
        <v>79.457054762039874</v>
      </c>
      <c r="E56" s="285">
        <f t="shared" ref="E56:E61" si="36">J56+N56+G56+P56+T56+X56</f>
        <v>11.725811862039889</v>
      </c>
      <c r="F56" s="280">
        <f t="shared" si="33"/>
        <v>11.725811862039889</v>
      </c>
      <c r="G56" s="266">
        <v>0</v>
      </c>
      <c r="H56" s="266">
        <v>0</v>
      </c>
      <c r="I56" s="268">
        <v>0</v>
      </c>
      <c r="J56" s="280">
        <v>11.725811862039889</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0</v>
      </c>
      <c r="AC56" s="284">
        <f t="shared" ref="AC56:AC68" si="38">J56+N56+R56+V56+Z56</f>
        <v>11.725811862039889</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11</v>
      </c>
      <c r="D61" s="280">
        <v>11</v>
      </c>
      <c r="E61" s="285">
        <f t="shared" si="36"/>
        <v>6</v>
      </c>
      <c r="F61" s="285">
        <f t="shared" si="33"/>
        <v>6</v>
      </c>
      <c r="G61" s="266">
        <v>0</v>
      </c>
      <c r="H61" s="266">
        <v>0</v>
      </c>
      <c r="I61" s="268">
        <v>0</v>
      </c>
      <c r="J61" s="280">
        <v>6</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0</v>
      </c>
      <c r="AC61" s="284">
        <f t="shared" si="38"/>
        <v>6</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451</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M9" zoomScale="80" zoomScaleSheetLayoutView="80" workbookViewId="0">
      <selection activeCell="AX9"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M_00.0003.000003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574</v>
      </c>
      <c r="AY22" s="489" t="s">
        <v>575</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45656</v>
      </c>
      <c r="E26" s="177">
        <v>4</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77306.797384608144</v>
      </c>
      <c r="Q26" s="177" t="s">
        <v>425</v>
      </c>
      <c r="R26" s="179">
        <f>SUM(R27:R86)</f>
        <v>77367.47941460814</v>
      </c>
      <c r="S26" s="177" t="s">
        <v>425</v>
      </c>
      <c r="T26" s="177" t="s">
        <v>425</v>
      </c>
      <c r="U26" s="177" t="s">
        <v>425</v>
      </c>
      <c r="V26" s="177" t="s">
        <v>425</v>
      </c>
      <c r="W26" s="177" t="s">
        <v>425</v>
      </c>
      <c r="X26" s="177" t="s">
        <v>425</v>
      </c>
      <c r="Y26" s="177" t="s">
        <v>425</v>
      </c>
      <c r="Z26" s="177" t="s">
        <v>425</v>
      </c>
      <c r="AA26" s="177" t="s">
        <v>425</v>
      </c>
      <c r="AB26" s="179">
        <f>SUM(AB27:AB86)</f>
        <v>74785.611749999996</v>
      </c>
      <c r="AC26" s="177" t="s">
        <v>425</v>
      </c>
      <c r="AD26" s="179">
        <f>SUM(AD27:AD86)</f>
        <v>86539.826859999986</v>
      </c>
      <c r="AE26" s="179">
        <f>SUM(AE27:AE86)</f>
        <v>0</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98130.688659999985</v>
      </c>
      <c r="AY26" s="179">
        <f t="shared" si="46"/>
        <v>117756.82638</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32260.050490000001</v>
      </c>
      <c r="Q27" s="214" t="s">
        <v>512</v>
      </c>
      <c r="R27" s="215">
        <v>32260.050490000001</v>
      </c>
      <c r="S27" s="214" t="s">
        <v>513</v>
      </c>
      <c r="T27" s="214" t="s">
        <v>513</v>
      </c>
      <c r="U27" s="214">
        <v>3</v>
      </c>
      <c r="V27" s="214">
        <v>2</v>
      </c>
      <c r="W27" s="214" t="s">
        <v>514</v>
      </c>
      <c r="X27" s="214" t="s">
        <v>515</v>
      </c>
      <c r="Y27" s="214" t="s">
        <v>516</v>
      </c>
      <c r="Z27" s="214">
        <v>1</v>
      </c>
      <c r="AA27" s="214" t="s">
        <v>517</v>
      </c>
      <c r="AB27" s="215">
        <v>32098.749749999999</v>
      </c>
      <c r="AC27" s="214" t="s">
        <v>518</v>
      </c>
      <c r="AD27" s="215">
        <v>38518.4997</v>
      </c>
      <c r="AE27" s="291">
        <f>IF(IFERROR(AD27-AY27,"нд")&lt;0,0,IFERROR(AD27-AY27,"нд"))</f>
        <v>0</v>
      </c>
      <c r="AF27" s="214">
        <v>32212009253</v>
      </c>
      <c r="AG27" s="214" t="s">
        <v>519</v>
      </c>
      <c r="AH27" s="214" t="s">
        <v>520</v>
      </c>
      <c r="AI27" s="216">
        <v>44926</v>
      </c>
      <c r="AJ27" s="216">
        <v>44925</v>
      </c>
      <c r="AK27" s="216">
        <v>44947</v>
      </c>
      <c r="AL27" s="216">
        <v>44965</v>
      </c>
      <c r="AM27" s="214" t="s">
        <v>425</v>
      </c>
      <c r="AN27" s="214" t="s">
        <v>425</v>
      </c>
      <c r="AO27" s="214" t="s">
        <v>425</v>
      </c>
      <c r="AP27" s="214" t="s">
        <v>425</v>
      </c>
      <c r="AQ27" s="216">
        <v>44985</v>
      </c>
      <c r="AR27" s="216">
        <v>44985</v>
      </c>
      <c r="AS27" s="216">
        <v>44985</v>
      </c>
      <c r="AT27" s="216">
        <v>44985</v>
      </c>
      <c r="AU27" s="216">
        <v>45307</v>
      </c>
      <c r="AV27" s="214" t="s">
        <v>425</v>
      </c>
      <c r="AW27" s="214" t="s">
        <v>425</v>
      </c>
      <c r="AX27" s="217">
        <v>32519.598029999994</v>
      </c>
      <c r="AY27" s="217">
        <v>39023.517619999999</v>
      </c>
      <c r="AZ27" s="215" t="s">
        <v>521</v>
      </c>
      <c r="BA27" s="215" t="s">
        <v>522</v>
      </c>
      <c r="BB27" s="215" t="s">
        <v>523</v>
      </c>
      <c r="BC27" s="215" t="s">
        <v>524</v>
      </c>
      <c r="BD27" s="215" t="str">
        <f>CONCATENATE(BB27,", ",BA27,", ",N27,", ","договор № ",BC27)</f>
        <v>АО "РЭМиС", СМР, 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договор № ИП-23-00029 от 28.02.2023</v>
      </c>
    </row>
    <row r="28" spans="1:56" s="218" customFormat="1" ht="157.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525</v>
      </c>
      <c r="N28" s="214" t="s">
        <v>526</v>
      </c>
      <c r="O28" s="214" t="s">
        <v>511</v>
      </c>
      <c r="P28" s="215">
        <v>5958.9</v>
      </c>
      <c r="Q28" s="214" t="s">
        <v>512</v>
      </c>
      <c r="R28" s="215">
        <v>5958.9</v>
      </c>
      <c r="S28" s="214" t="s">
        <v>513</v>
      </c>
      <c r="T28" s="214" t="s">
        <v>513</v>
      </c>
      <c r="U28" s="214">
        <v>3</v>
      </c>
      <c r="V28" s="214">
        <v>4</v>
      </c>
      <c r="W28" s="214" t="s">
        <v>527</v>
      </c>
      <c r="X28" s="214" t="s">
        <v>528</v>
      </c>
      <c r="Y28" s="214" t="s">
        <v>516</v>
      </c>
      <c r="Z28" s="214">
        <v>1</v>
      </c>
      <c r="AA28" s="214" t="s">
        <v>529</v>
      </c>
      <c r="AB28" s="215">
        <v>5338.18</v>
      </c>
      <c r="AC28" s="214" t="s">
        <v>530</v>
      </c>
      <c r="AD28" s="215">
        <v>3202.9087599999998</v>
      </c>
      <c r="AE28" s="291">
        <f t="shared" ref="AE28:AE86" si="49">IF(IFERROR(AD28-AY28,"нд")&lt;0,0,IFERROR(AD28-AY28,"нд"))</f>
        <v>0</v>
      </c>
      <c r="AF28" s="214">
        <v>32211273982</v>
      </c>
      <c r="AG28" s="214" t="s">
        <v>519</v>
      </c>
      <c r="AH28" s="214" t="s">
        <v>520</v>
      </c>
      <c r="AI28" s="216">
        <v>44621</v>
      </c>
      <c r="AJ28" s="216">
        <v>44651</v>
      </c>
      <c r="AK28" s="216">
        <v>44673</v>
      </c>
      <c r="AL28" s="216">
        <v>44680</v>
      </c>
      <c r="AM28" s="214" t="s">
        <v>425</v>
      </c>
      <c r="AN28" s="214" t="s">
        <v>425</v>
      </c>
      <c r="AO28" s="214" t="s">
        <v>425</v>
      </c>
      <c r="AP28" s="214" t="s">
        <v>425</v>
      </c>
      <c r="AQ28" s="216">
        <v>44700</v>
      </c>
      <c r="AR28" s="216">
        <v>44700</v>
      </c>
      <c r="AS28" s="216">
        <v>44700</v>
      </c>
      <c r="AT28" s="216">
        <v>44700</v>
      </c>
      <c r="AU28" s="216">
        <v>45290</v>
      </c>
      <c r="AV28" s="214" t="s">
        <v>425</v>
      </c>
      <c r="AW28" s="214" t="s">
        <v>425</v>
      </c>
      <c r="AX28" s="215">
        <v>2669.0906300000001</v>
      </c>
      <c r="AY28" s="215">
        <v>3202.9087599999998</v>
      </c>
      <c r="AZ28" s="215" t="s">
        <v>521</v>
      </c>
      <c r="BA28" s="215" t="s">
        <v>525</v>
      </c>
      <c r="BB28" s="215" t="s">
        <v>531</v>
      </c>
      <c r="BC28" s="215" t="s">
        <v>532</v>
      </c>
      <c r="BD28" s="215" t="str">
        <f t="shared" ref="BD28:BD86" si="50">CONCATENATE(BB28,", ",BA28,", ",N28,", ","договор № ",BC28)</f>
        <v>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ИП-22-00125 от 19.05.2022</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533</v>
      </c>
      <c r="N29" s="214" t="s">
        <v>534</v>
      </c>
      <c r="O29" s="214" t="s">
        <v>535</v>
      </c>
      <c r="P29" s="215">
        <v>33270.846894608141</v>
      </c>
      <c r="Q29" s="214" t="s">
        <v>512</v>
      </c>
      <c r="R29" s="215">
        <v>33270.846894608141</v>
      </c>
      <c r="S29" s="214" t="s">
        <v>536</v>
      </c>
      <c r="T29" s="214" t="s">
        <v>536</v>
      </c>
      <c r="U29" s="214">
        <v>3</v>
      </c>
      <c r="V29" s="214">
        <v>4</v>
      </c>
      <c r="W29" s="214" t="s">
        <v>537</v>
      </c>
      <c r="X29" s="214" t="s">
        <v>538</v>
      </c>
      <c r="Y29" s="214" t="s">
        <v>516</v>
      </c>
      <c r="Z29" s="214">
        <v>3</v>
      </c>
      <c r="AA29" s="214" t="s">
        <v>539</v>
      </c>
      <c r="AB29" s="215">
        <v>31471</v>
      </c>
      <c r="AC29" s="214" t="s">
        <v>540</v>
      </c>
      <c r="AD29" s="215">
        <v>37765.199999999997</v>
      </c>
      <c r="AE29" s="291">
        <f t="shared" si="49"/>
        <v>0</v>
      </c>
      <c r="AF29" s="214">
        <v>31908466928</v>
      </c>
      <c r="AG29" s="214" t="s">
        <v>519</v>
      </c>
      <c r="AH29" s="214" t="s">
        <v>541</v>
      </c>
      <c r="AI29" s="216">
        <v>43769</v>
      </c>
      <c r="AJ29" s="216">
        <v>43769</v>
      </c>
      <c r="AK29" s="216">
        <v>43782</v>
      </c>
      <c r="AL29" s="216">
        <v>43824</v>
      </c>
      <c r="AM29" s="214" t="s">
        <v>425</v>
      </c>
      <c r="AN29" s="214" t="s">
        <v>425</v>
      </c>
      <c r="AO29" s="214" t="s">
        <v>425</v>
      </c>
      <c r="AP29" s="214" t="s">
        <v>425</v>
      </c>
      <c r="AQ29" s="216">
        <v>43844</v>
      </c>
      <c r="AR29" s="216">
        <v>43865</v>
      </c>
      <c r="AS29" s="216">
        <v>43844</v>
      </c>
      <c r="AT29" s="216">
        <v>43975</v>
      </c>
      <c r="AU29" s="216">
        <v>43983</v>
      </c>
      <c r="AV29" s="214" t="s">
        <v>425</v>
      </c>
      <c r="AW29" s="214" t="s">
        <v>425</v>
      </c>
      <c r="AX29" s="215">
        <v>31471</v>
      </c>
      <c r="AY29" s="215">
        <v>37765.199999999997</v>
      </c>
      <c r="AZ29" s="215" t="s">
        <v>542</v>
      </c>
      <c r="BA29" s="215" t="s">
        <v>533</v>
      </c>
      <c r="BB29" s="215" t="s">
        <v>540</v>
      </c>
      <c r="BC29" s="215" t="s">
        <v>543</v>
      </c>
      <c r="BD29" s="215" t="str">
        <f t="shared" si="50"/>
        <v>ООО "Остерон", ТМЦ, Поставка линейно-регулировочных трансформаторов, договор № ПД-19-00437 от 04.02.2020</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533</v>
      </c>
      <c r="N30" s="214" t="s">
        <v>570</v>
      </c>
      <c r="O30" s="214" t="s">
        <v>511</v>
      </c>
      <c r="P30" s="215">
        <v>5817</v>
      </c>
      <c r="Q30" s="214" t="s">
        <v>512</v>
      </c>
      <c r="R30" s="215">
        <v>5877.6820299999999</v>
      </c>
      <c r="S30" s="214" t="s">
        <v>571</v>
      </c>
      <c r="T30" s="214" t="s">
        <v>571</v>
      </c>
      <c r="U30" s="214">
        <v>2</v>
      </c>
      <c r="V30" s="214">
        <v>1</v>
      </c>
      <c r="W30" s="214" t="s">
        <v>572</v>
      </c>
      <c r="X30" s="214">
        <v>5877.6819999999998</v>
      </c>
      <c r="Y30" s="214" t="s">
        <v>516</v>
      </c>
      <c r="Z30" s="214">
        <v>1</v>
      </c>
      <c r="AA30" s="214">
        <v>5877.6819999999998</v>
      </c>
      <c r="AB30" s="215">
        <v>5877.6819999999998</v>
      </c>
      <c r="AC30" s="214" t="s">
        <v>572</v>
      </c>
      <c r="AD30" s="215">
        <v>7053.2183999999997</v>
      </c>
      <c r="AE30" s="291">
        <f t="shared" si="49"/>
        <v>0</v>
      </c>
      <c r="AF30" s="214">
        <v>32413857906</v>
      </c>
      <c r="AG30" s="214" t="s">
        <v>519</v>
      </c>
      <c r="AH30" s="214" t="s">
        <v>541</v>
      </c>
      <c r="AI30" s="216">
        <v>45504</v>
      </c>
      <c r="AJ30" s="216">
        <v>45504</v>
      </c>
      <c r="AK30" s="216">
        <v>45512</v>
      </c>
      <c r="AL30" s="216">
        <v>45524</v>
      </c>
      <c r="AM30" s="214" t="s">
        <v>425</v>
      </c>
      <c r="AN30" s="214" t="s">
        <v>425</v>
      </c>
      <c r="AO30" s="214" t="s">
        <v>425</v>
      </c>
      <c r="AP30" s="214" t="s">
        <v>425</v>
      </c>
      <c r="AQ30" s="216">
        <v>45545</v>
      </c>
      <c r="AR30" s="216">
        <v>45545</v>
      </c>
      <c r="AS30" s="216">
        <v>45545</v>
      </c>
      <c r="AT30" s="216">
        <v>45545</v>
      </c>
      <c r="AU30" s="216">
        <v>45644</v>
      </c>
      <c r="AV30" s="214" t="s">
        <v>425</v>
      </c>
      <c r="AW30" s="214" t="s">
        <v>425</v>
      </c>
      <c r="AX30" s="215">
        <v>31471</v>
      </c>
      <c r="AY30" s="215">
        <v>37765.199999999997</v>
      </c>
      <c r="AZ30" s="215" t="s">
        <v>542</v>
      </c>
      <c r="BA30" s="215" t="s">
        <v>533</v>
      </c>
      <c r="BB30" s="215" t="s">
        <v>572</v>
      </c>
      <c r="BC30" s="215" t="s">
        <v>573</v>
      </c>
      <c r="BD30" s="215" t="str">
        <f t="shared" si="50"/>
        <v>ОБЩЕСТВО С ОГРАНИЧЕННОЙ ОТВЕТСТВЕННОСТЬЮ "ЭКРА-СИБИРЬ", ТМЦ, 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 договор № ПД-24-00190 от 10.09.2024</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425</v>
      </c>
      <c r="N31" s="214" t="s">
        <v>425</v>
      </c>
      <c r="O31" s="214" t="s">
        <v>425</v>
      </c>
      <c r="P31" s="215" t="s">
        <v>425</v>
      </c>
      <c r="Q31" s="214" t="s">
        <v>425</v>
      </c>
      <c r="R31" s="215" t="s">
        <v>425</v>
      </c>
      <c r="S31" s="214" t="s">
        <v>425</v>
      </c>
      <c r="T31" s="214" t="s">
        <v>425</v>
      </c>
      <c r="U31" s="214" t="s">
        <v>425</v>
      </c>
      <c r="V31" s="214" t="s">
        <v>425</v>
      </c>
      <c r="W31" s="214" t="s">
        <v>425</v>
      </c>
      <c r="X31" s="214" t="s">
        <v>425</v>
      </c>
      <c r="Y31" s="214" t="s">
        <v>425</v>
      </c>
      <c r="Z31" s="214" t="s">
        <v>425</v>
      </c>
      <c r="AA31" s="214" t="s">
        <v>425</v>
      </c>
      <c r="AB31" s="215" t="s">
        <v>425</v>
      </c>
      <c r="AC31" s="214" t="s">
        <v>425</v>
      </c>
      <c r="AD31" s="215" t="s">
        <v>425</v>
      </c>
      <c r="AE31" s="291" t="str">
        <f t="shared" si="49"/>
        <v>нд</v>
      </c>
      <c r="AF31" s="214" t="s">
        <v>425</v>
      </c>
      <c r="AG31" s="214" t="s">
        <v>425</v>
      </c>
      <c r="AH31" s="214" t="s">
        <v>425</v>
      </c>
      <c r="AI31" s="216" t="s">
        <v>425</v>
      </c>
      <c r="AJ31" s="216" t="s">
        <v>425</v>
      </c>
      <c r="AK31" s="216" t="s">
        <v>425</v>
      </c>
      <c r="AL31" s="216" t="s">
        <v>425</v>
      </c>
      <c r="AM31" s="214" t="s">
        <v>425</v>
      </c>
      <c r="AN31" s="214" t="s">
        <v>425</v>
      </c>
      <c r="AO31" s="214" t="s">
        <v>425</v>
      </c>
      <c r="AP31" s="214" t="s">
        <v>425</v>
      </c>
      <c r="AQ31" s="216" t="s">
        <v>425</v>
      </c>
      <c r="AR31" s="216" t="s">
        <v>425</v>
      </c>
      <c r="AS31" s="216" t="s">
        <v>425</v>
      </c>
      <c r="AT31" s="216" t="s">
        <v>425</v>
      </c>
      <c r="AU31" s="216" t="s">
        <v>425</v>
      </c>
      <c r="AV31" s="214" t="s">
        <v>425</v>
      </c>
      <c r="AW31" s="214" t="s">
        <v>425</v>
      </c>
      <c r="AX31" s="215">
        <v>0</v>
      </c>
      <c r="AY31" s="215">
        <v>0</v>
      </c>
      <c r="AZ31" s="215" t="s">
        <v>425</v>
      </c>
      <c r="BA31" s="215" t="s">
        <v>425</v>
      </c>
      <c r="BB31" s="215" t="s">
        <v>425</v>
      </c>
      <c r="BC31" s="215" t="s">
        <v>425</v>
      </c>
      <c r="BD31" s="215" t="str">
        <f t="shared" si="50"/>
        <v>нд, нд, нд, договор № нд</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425</v>
      </c>
      <c r="N32" s="214" t="s">
        <v>425</v>
      </c>
      <c r="O32" s="214" t="s">
        <v>425</v>
      </c>
      <c r="P32" s="215" t="s">
        <v>425</v>
      </c>
      <c r="Q32" s="214" t="s">
        <v>425</v>
      </c>
      <c r="R32" s="215" t="s">
        <v>425</v>
      </c>
      <c r="S32" s="214" t="s">
        <v>425</v>
      </c>
      <c r="T32" s="214" t="s">
        <v>425</v>
      </c>
      <c r="U32" s="214" t="s">
        <v>425</v>
      </c>
      <c r="V32" s="214" t="s">
        <v>425</v>
      </c>
      <c r="W32" s="214" t="s">
        <v>425</v>
      </c>
      <c r="X32" s="214" t="s">
        <v>425</v>
      </c>
      <c r="Y32" s="214" t="s">
        <v>425</v>
      </c>
      <c r="Z32" s="214" t="s">
        <v>425</v>
      </c>
      <c r="AA32" s="214" t="s">
        <v>425</v>
      </c>
      <c r="AB32" s="215" t="s">
        <v>425</v>
      </c>
      <c r="AC32" s="214" t="s">
        <v>425</v>
      </c>
      <c r="AD32" s="215" t="s">
        <v>425</v>
      </c>
      <c r="AE32" s="291" t="str">
        <f t="shared" si="49"/>
        <v>нд</v>
      </c>
      <c r="AF32" s="214" t="s">
        <v>425</v>
      </c>
      <c r="AG32" s="214" t="s">
        <v>425</v>
      </c>
      <c r="AH32" s="214" t="s">
        <v>425</v>
      </c>
      <c r="AI32" s="216" t="s">
        <v>425</v>
      </c>
      <c r="AJ32" s="216" t="s">
        <v>425</v>
      </c>
      <c r="AK32" s="216" t="s">
        <v>425</v>
      </c>
      <c r="AL32" s="216" t="s">
        <v>425</v>
      </c>
      <c r="AM32" s="214" t="s">
        <v>425</v>
      </c>
      <c r="AN32" s="214" t="s">
        <v>425</v>
      </c>
      <c r="AO32" s="214" t="s">
        <v>425</v>
      </c>
      <c r="AP32" s="214" t="s">
        <v>425</v>
      </c>
      <c r="AQ32" s="216" t="s">
        <v>425</v>
      </c>
      <c r="AR32" s="216" t="s">
        <v>425</v>
      </c>
      <c r="AS32" s="216" t="s">
        <v>425</v>
      </c>
      <c r="AT32" s="216" t="s">
        <v>425</v>
      </c>
      <c r="AU32" s="216" t="s">
        <v>425</v>
      </c>
      <c r="AV32" s="214" t="s">
        <v>425</v>
      </c>
      <c r="AW32" s="214" t="s">
        <v>425</v>
      </c>
      <c r="AX32" s="215">
        <v>0</v>
      </c>
      <c r="AY32" s="215">
        <v>0</v>
      </c>
      <c r="AZ32" s="215" t="s">
        <v>425</v>
      </c>
      <c r="BA32" s="215" t="s">
        <v>425</v>
      </c>
      <c r="BB32" s="215" t="s">
        <v>425</v>
      </c>
      <c r="BC32" s="215" t="s">
        <v>425</v>
      </c>
      <c r="BD32" s="215" t="str">
        <f t="shared" si="50"/>
        <v>нд, нд, нд, договор № нд</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425</v>
      </c>
      <c r="N33" s="214" t="s">
        <v>425</v>
      </c>
      <c r="O33" s="214" t="s">
        <v>425</v>
      </c>
      <c r="P33" s="215" t="s">
        <v>425</v>
      </c>
      <c r="Q33" s="214" t="s">
        <v>425</v>
      </c>
      <c r="R33" s="215" t="s">
        <v>425</v>
      </c>
      <c r="S33" s="214" t="s">
        <v>425</v>
      </c>
      <c r="T33" s="214" t="s">
        <v>425</v>
      </c>
      <c r="U33" s="214" t="s">
        <v>425</v>
      </c>
      <c r="V33" s="214" t="s">
        <v>425</v>
      </c>
      <c r="W33" s="214" t="s">
        <v>425</v>
      </c>
      <c r="X33" s="214" t="s">
        <v>425</v>
      </c>
      <c r="Y33" s="214" t="s">
        <v>425</v>
      </c>
      <c r="Z33" s="214" t="s">
        <v>425</v>
      </c>
      <c r="AA33" s="214" t="s">
        <v>425</v>
      </c>
      <c r="AB33" s="215" t="s">
        <v>425</v>
      </c>
      <c r="AC33" s="214" t="s">
        <v>425</v>
      </c>
      <c r="AD33" s="215" t="s">
        <v>425</v>
      </c>
      <c r="AE33" s="291" t="str">
        <f t="shared" si="49"/>
        <v>нд</v>
      </c>
      <c r="AF33" s="214" t="s">
        <v>425</v>
      </c>
      <c r="AG33" s="214" t="s">
        <v>425</v>
      </c>
      <c r="AH33" s="214" t="s">
        <v>425</v>
      </c>
      <c r="AI33" s="216" t="s">
        <v>425</v>
      </c>
      <c r="AJ33" s="216" t="s">
        <v>425</v>
      </c>
      <c r="AK33" s="216" t="s">
        <v>425</v>
      </c>
      <c r="AL33" s="216" t="s">
        <v>425</v>
      </c>
      <c r="AM33" s="214" t="s">
        <v>425</v>
      </c>
      <c r="AN33" s="214" t="s">
        <v>425</v>
      </c>
      <c r="AO33" s="214" t="s">
        <v>425</v>
      </c>
      <c r="AP33" s="214" t="s">
        <v>425</v>
      </c>
      <c r="AQ33" s="216" t="s">
        <v>425</v>
      </c>
      <c r="AR33" s="216" t="s">
        <v>425</v>
      </c>
      <c r="AS33" s="216" t="s">
        <v>425</v>
      </c>
      <c r="AT33" s="216" t="s">
        <v>425</v>
      </c>
      <c r="AU33" s="216" t="s">
        <v>425</v>
      </c>
      <c r="AV33" s="214" t="s">
        <v>425</v>
      </c>
      <c r="AW33" s="214" t="s">
        <v>425</v>
      </c>
      <c r="AX33" s="215">
        <v>0</v>
      </c>
      <c r="AY33" s="215">
        <v>0</v>
      </c>
      <c r="AZ33" s="215" t="s">
        <v>425</v>
      </c>
      <c r="BA33" s="215" t="s">
        <v>425</v>
      </c>
      <c r="BB33" s="215" t="s">
        <v>425</v>
      </c>
      <c r="BC33" s="215" t="s">
        <v>425</v>
      </c>
      <c r="BD33" s="215" t="str">
        <f t="shared" si="50"/>
        <v>нд, нд, нд, договор № нд</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425</v>
      </c>
      <c r="N34" s="214" t="s">
        <v>425</v>
      </c>
      <c r="O34" s="214" t="s">
        <v>425</v>
      </c>
      <c r="P34" s="215" t="s">
        <v>425</v>
      </c>
      <c r="Q34" s="214" t="s">
        <v>425</v>
      </c>
      <c r="R34" s="215" t="s">
        <v>425</v>
      </c>
      <c r="S34" s="214" t="s">
        <v>425</v>
      </c>
      <c r="T34" s="214" t="s">
        <v>425</v>
      </c>
      <c r="U34" s="214" t="s">
        <v>425</v>
      </c>
      <c r="V34" s="214" t="s">
        <v>425</v>
      </c>
      <c r="W34" s="214" t="s">
        <v>425</v>
      </c>
      <c r="X34" s="214" t="s">
        <v>425</v>
      </c>
      <c r="Y34" s="214" t="s">
        <v>425</v>
      </c>
      <c r="Z34" s="214" t="s">
        <v>425</v>
      </c>
      <c r="AA34" s="214" t="s">
        <v>425</v>
      </c>
      <c r="AB34" s="215" t="s">
        <v>425</v>
      </c>
      <c r="AC34" s="214" t="s">
        <v>425</v>
      </c>
      <c r="AD34" s="215" t="s">
        <v>425</v>
      </c>
      <c r="AE34" s="291" t="str">
        <f t="shared" si="49"/>
        <v>нд</v>
      </c>
      <c r="AF34" s="214" t="s">
        <v>425</v>
      </c>
      <c r="AG34" s="214" t="s">
        <v>425</v>
      </c>
      <c r="AH34" s="214" t="s">
        <v>425</v>
      </c>
      <c r="AI34" s="216" t="s">
        <v>425</v>
      </c>
      <c r="AJ34" s="216" t="s">
        <v>425</v>
      </c>
      <c r="AK34" s="216" t="s">
        <v>425</v>
      </c>
      <c r="AL34" s="216" t="s">
        <v>425</v>
      </c>
      <c r="AM34" s="214" t="s">
        <v>425</v>
      </c>
      <c r="AN34" s="214" t="s">
        <v>425</v>
      </c>
      <c r="AO34" s="214" t="s">
        <v>425</v>
      </c>
      <c r="AP34" s="214" t="s">
        <v>425</v>
      </c>
      <c r="AQ34" s="216" t="s">
        <v>425</v>
      </c>
      <c r="AR34" s="216" t="s">
        <v>425</v>
      </c>
      <c r="AS34" s="216" t="s">
        <v>425</v>
      </c>
      <c r="AT34" s="216" t="s">
        <v>425</v>
      </c>
      <c r="AU34" s="216" t="s">
        <v>425</v>
      </c>
      <c r="AV34" s="214" t="s">
        <v>425</v>
      </c>
      <c r="AW34" s="214" t="s">
        <v>425</v>
      </c>
      <c r="AX34" s="215">
        <v>0</v>
      </c>
      <c r="AY34" s="215">
        <v>0</v>
      </c>
      <c r="AZ34" s="215" t="s">
        <v>425</v>
      </c>
      <c r="BA34" s="215" t="s">
        <v>425</v>
      </c>
      <c r="BB34" s="215" t="s">
        <v>425</v>
      </c>
      <c r="BC34" s="215" t="s">
        <v>425</v>
      </c>
      <c r="BD34" s="215" t="str">
        <f t="shared" si="50"/>
        <v>нд, нд, нд, договор № нд</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425</v>
      </c>
      <c r="N35" s="214" t="s">
        <v>425</v>
      </c>
      <c r="O35" s="214" t="s">
        <v>425</v>
      </c>
      <c r="P35" s="215" t="s">
        <v>425</v>
      </c>
      <c r="Q35" s="214" t="s">
        <v>425</v>
      </c>
      <c r="R35" s="215" t="s">
        <v>425</v>
      </c>
      <c r="S35" s="214" t="s">
        <v>425</v>
      </c>
      <c r="T35" s="214" t="s">
        <v>425</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t="s">
        <v>425</v>
      </c>
      <c r="AG35" s="214" t="s">
        <v>425</v>
      </c>
      <c r="AH35" s="214" t="s">
        <v>425</v>
      </c>
      <c r="AI35" s="216" t="s">
        <v>425</v>
      </c>
      <c r="AJ35" s="216" t="s">
        <v>425</v>
      </c>
      <c r="AK35" s="216" t="s">
        <v>425</v>
      </c>
      <c r="AL35" s="216" t="s">
        <v>425</v>
      </c>
      <c r="AM35" s="214" t="s">
        <v>425</v>
      </c>
      <c r="AN35" s="214" t="s">
        <v>425</v>
      </c>
      <c r="AO35" s="214" t="s">
        <v>425</v>
      </c>
      <c r="AP35" s="214" t="s">
        <v>425</v>
      </c>
      <c r="AQ35" s="216" t="s">
        <v>425</v>
      </c>
      <c r="AR35" s="216" t="s">
        <v>425</v>
      </c>
      <c r="AS35" s="216" t="s">
        <v>425</v>
      </c>
      <c r="AT35" s="216" t="s">
        <v>425</v>
      </c>
      <c r="AU35" s="216" t="s">
        <v>425</v>
      </c>
      <c r="AV35" s="214" t="s">
        <v>425</v>
      </c>
      <c r="AW35" s="214" t="s">
        <v>425</v>
      </c>
      <c r="AX35" s="215">
        <v>0</v>
      </c>
      <c r="AY35" s="215">
        <v>0</v>
      </c>
      <c r="AZ35" s="215" t="s">
        <v>425</v>
      </c>
      <c r="BA35" s="215" t="s">
        <v>425</v>
      </c>
      <c r="BB35" s="215" t="s">
        <v>425</v>
      </c>
      <c r="BC35" s="215" t="s">
        <v>425</v>
      </c>
      <c r="BD35" s="215" t="str">
        <f t="shared" si="50"/>
        <v>нд, нд, нд, договор № нд</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425</v>
      </c>
      <c r="N36" s="214" t="s">
        <v>425</v>
      </c>
      <c r="O36" s="214" t="s">
        <v>425</v>
      </c>
      <c r="P36" s="215" t="s">
        <v>425</v>
      </c>
      <c r="Q36" s="214" t="s">
        <v>425</v>
      </c>
      <c r="R36" s="215" t="s">
        <v>425</v>
      </c>
      <c r="S36" s="214" t="s">
        <v>425</v>
      </c>
      <c r="T36" s="214" t="s">
        <v>425</v>
      </c>
      <c r="U36" s="214" t="s">
        <v>425</v>
      </c>
      <c r="V36" s="214" t="s">
        <v>425</v>
      </c>
      <c r="W36" s="214" t="s">
        <v>425</v>
      </c>
      <c r="X36" s="214" t="s">
        <v>425</v>
      </c>
      <c r="Y36" s="214" t="s">
        <v>425</v>
      </c>
      <c r="Z36" s="214" t="s">
        <v>425</v>
      </c>
      <c r="AA36" s="214" t="s">
        <v>425</v>
      </c>
      <c r="AB36" s="215" t="s">
        <v>425</v>
      </c>
      <c r="AC36" s="214" t="s">
        <v>425</v>
      </c>
      <c r="AD36" s="215" t="s">
        <v>425</v>
      </c>
      <c r="AE36" s="291" t="str">
        <f t="shared" si="49"/>
        <v>нд</v>
      </c>
      <c r="AF36" s="214" t="s">
        <v>425</v>
      </c>
      <c r="AG36" s="214" t="s">
        <v>425</v>
      </c>
      <c r="AH36" s="214" t="s">
        <v>425</v>
      </c>
      <c r="AI36" s="216" t="s">
        <v>425</v>
      </c>
      <c r="AJ36" s="216" t="s">
        <v>425</v>
      </c>
      <c r="AK36" s="216" t="s">
        <v>425</v>
      </c>
      <c r="AL36" s="216" t="s">
        <v>425</v>
      </c>
      <c r="AM36" s="214" t="s">
        <v>425</v>
      </c>
      <c r="AN36" s="214" t="s">
        <v>425</v>
      </c>
      <c r="AO36" s="214" t="s">
        <v>425</v>
      </c>
      <c r="AP36" s="214" t="s">
        <v>425</v>
      </c>
      <c r="AQ36" s="216" t="s">
        <v>425</v>
      </c>
      <c r="AR36" s="216" t="s">
        <v>425</v>
      </c>
      <c r="AS36" s="216" t="s">
        <v>425</v>
      </c>
      <c r="AT36" s="216" t="s">
        <v>425</v>
      </c>
      <c r="AU36" s="216" t="s">
        <v>425</v>
      </c>
      <c r="AV36" s="214" t="s">
        <v>425</v>
      </c>
      <c r="AW36" s="214" t="s">
        <v>425</v>
      </c>
      <c r="AX36" s="215">
        <v>0</v>
      </c>
      <c r="AY36" s="215">
        <v>0</v>
      </c>
      <c r="AZ36" s="215" t="s">
        <v>425</v>
      </c>
      <c r="BA36" s="215" t="s">
        <v>425</v>
      </c>
      <c r="BB36" s="215" t="s">
        <v>425</v>
      </c>
      <c r="BC36" s="215" t="s">
        <v>425</v>
      </c>
      <c r="BD36" s="215" t="str">
        <f t="shared" si="50"/>
        <v>нд, нд, нд, договор № нд</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425</v>
      </c>
      <c r="N37" s="214" t="s">
        <v>425</v>
      </c>
      <c r="O37" s="214" t="s">
        <v>425</v>
      </c>
      <c r="P37" s="215" t="s">
        <v>425</v>
      </c>
      <c r="Q37" s="214" t="s">
        <v>425</v>
      </c>
      <c r="R37" s="215" t="s">
        <v>425</v>
      </c>
      <c r="S37" s="214" t="s">
        <v>425</v>
      </c>
      <c r="T37" s="214" t="s">
        <v>425</v>
      </c>
      <c r="U37" s="214" t="s">
        <v>425</v>
      </c>
      <c r="V37" s="214" t="s">
        <v>425</v>
      </c>
      <c r="W37" s="214" t="s">
        <v>425</v>
      </c>
      <c r="X37" s="214" t="s">
        <v>425</v>
      </c>
      <c r="Y37" s="214" t="s">
        <v>425</v>
      </c>
      <c r="Z37" s="214" t="s">
        <v>425</v>
      </c>
      <c r="AA37" s="214" t="s">
        <v>425</v>
      </c>
      <c r="AB37" s="215" t="s">
        <v>425</v>
      </c>
      <c r="AC37" s="214" t="s">
        <v>425</v>
      </c>
      <c r="AD37" s="215" t="s">
        <v>425</v>
      </c>
      <c r="AE37" s="291" t="str">
        <f t="shared" si="49"/>
        <v>нд</v>
      </c>
      <c r="AF37" s="214" t="s">
        <v>425</v>
      </c>
      <c r="AG37" s="214" t="s">
        <v>425</v>
      </c>
      <c r="AH37" s="214" t="s">
        <v>425</v>
      </c>
      <c r="AI37" s="216" t="s">
        <v>425</v>
      </c>
      <c r="AJ37" s="216" t="s">
        <v>425</v>
      </c>
      <c r="AK37" s="216" t="s">
        <v>425</v>
      </c>
      <c r="AL37" s="216" t="s">
        <v>425</v>
      </c>
      <c r="AM37" s="214" t="s">
        <v>425</v>
      </c>
      <c r="AN37" s="214" t="s">
        <v>425</v>
      </c>
      <c r="AO37" s="214" t="s">
        <v>425</v>
      </c>
      <c r="AP37" s="214" t="s">
        <v>425</v>
      </c>
      <c r="AQ37" s="216" t="s">
        <v>425</v>
      </c>
      <c r="AR37" s="216" t="s">
        <v>425</v>
      </c>
      <c r="AS37" s="216" t="s">
        <v>425</v>
      </c>
      <c r="AT37" s="216" t="s">
        <v>425</v>
      </c>
      <c r="AU37" s="216" t="s">
        <v>425</v>
      </c>
      <c r="AV37" s="214" t="s">
        <v>425</v>
      </c>
      <c r="AW37" s="214" t="s">
        <v>425</v>
      </c>
      <c r="AX37" s="215">
        <v>0</v>
      </c>
      <c r="AY37" s="215">
        <v>0</v>
      </c>
      <c r="AZ37" s="215" t="s">
        <v>425</v>
      </c>
      <c r="BA37" s="215" t="s">
        <v>425</v>
      </c>
      <c r="BB37" s="215" t="s">
        <v>425</v>
      </c>
      <c r="BC37" s="215" t="s">
        <v>425</v>
      </c>
      <c r="BD37" s="215" t="str">
        <f t="shared" si="50"/>
        <v>нд, нд, нд, договор № нд</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honeticPr fontId="78" type="noConversion"/>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topLeftCell="A98" zoomScale="70" zoomScaleNormal="90" zoomScaleSheetLayoutView="70" workbookViewId="0">
      <selection activeCell="B92" sqref="B92:B97"/>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2024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M_00.0003.000003</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555</v>
      </c>
    </row>
    <row r="22" spans="1:2" x14ac:dyDescent="0.25">
      <c r="A22" s="157" t="s">
        <v>306</v>
      </c>
      <c r="B22" s="157" t="s">
        <v>560</v>
      </c>
    </row>
    <row r="23" spans="1:2" x14ac:dyDescent="0.25">
      <c r="A23" s="157" t="s">
        <v>288</v>
      </c>
      <c r="B23" s="157" t="s">
        <v>546</v>
      </c>
    </row>
    <row r="24" spans="1:2" x14ac:dyDescent="0.25">
      <c r="A24" s="157" t="s">
        <v>307</v>
      </c>
      <c r="B24" s="157" t="s">
        <v>425</v>
      </c>
    </row>
    <row r="25" spans="1:2" x14ac:dyDescent="0.25">
      <c r="A25" s="158" t="s">
        <v>308</v>
      </c>
      <c r="B25" s="175">
        <v>46021</v>
      </c>
    </row>
    <row r="26" spans="1:2" x14ac:dyDescent="0.25">
      <c r="A26" s="158" t="s">
        <v>309</v>
      </c>
      <c r="B26" s="160" t="s">
        <v>559</v>
      </c>
    </row>
    <row r="27" spans="1:2" x14ac:dyDescent="0.25">
      <c r="A27" s="160" t="str">
        <f>CONCATENATE("Стоимость проекта в прогнозных ценах, млн. руб. с НДС")</f>
        <v>Стоимость проекта в прогнозных ценах, млн. руб. с НДС</v>
      </c>
      <c r="B27" s="171">
        <v>95.074149486378744</v>
      </c>
    </row>
    <row r="28" spans="1:2" ht="93.75" customHeight="1" x14ac:dyDescent="0.25">
      <c r="A28" s="159" t="s">
        <v>310</v>
      </c>
      <c r="B28" s="162" t="s">
        <v>547</v>
      </c>
    </row>
    <row r="29" spans="1:2" ht="28.5" x14ac:dyDescent="0.25">
      <c r="A29" s="160" t="s">
        <v>311</v>
      </c>
      <c r="B29" s="171">
        <f>'7. Паспорт отчет о закупке'!$AB$26*1.2/1000</f>
        <v>89.742734099999993</v>
      </c>
    </row>
    <row r="30" spans="1:2" ht="28.5" x14ac:dyDescent="0.25">
      <c r="A30" s="160" t="s">
        <v>312</v>
      </c>
      <c r="B30" s="171">
        <f>'7. Паспорт отчет о закупке'!$AD$26/1000</f>
        <v>86.539826859999991</v>
      </c>
    </row>
    <row r="31" spans="1:2" x14ac:dyDescent="0.25">
      <c r="A31" s="159" t="s">
        <v>313</v>
      </c>
      <c r="B31" s="161"/>
    </row>
    <row r="32" spans="1:2" ht="28.5" x14ac:dyDescent="0.25">
      <c r="A32" s="160" t="s">
        <v>314</v>
      </c>
      <c r="B32" s="171">
        <f>SUM(SUMIF(B33,"&gt;0",B33),SUMIF(B37,"&gt;0",B37),SUMIF(B41,"&gt;0",B41),SUMIF(B45,"&gt;0",B45),SUMIF(B49,"&gt;0",B49),SUMIF(B53,"&gt;0",B53))</f>
        <v>41.721408459999999</v>
      </c>
    </row>
    <row r="33" spans="1:2" ht="30" x14ac:dyDescent="0.25">
      <c r="A33" s="168" t="s">
        <v>433</v>
      </c>
      <c r="B33" s="161">
        <f>IFERROR(IF(VLOOKUP(1,'7. Паспорт отчет о закупке'!$A$27:$CD$86,52,0)="ИП",VLOOKUP(1,'7. Паспорт отчет о закупке'!$A$27:$CD$86,30,0)/1000,"нд"),"нд")</f>
        <v>38.5184997</v>
      </c>
    </row>
    <row r="34" spans="1:2" x14ac:dyDescent="0.25">
      <c r="A34" s="168" t="s">
        <v>315</v>
      </c>
      <c r="B34" s="161">
        <f>IF(B33="нд","нд",$B33/$B$27*100)</f>
        <v>40.514167003427715</v>
      </c>
    </row>
    <row r="35" spans="1:2" x14ac:dyDescent="0.25">
      <c r="A35" s="168" t="s">
        <v>316</v>
      </c>
      <c r="B35" s="161">
        <f>IF(VLOOKUP(1,'7. Паспорт отчет о закупке'!$A$27:$CD$86,52,0)="ИП",VLOOKUP(1,'7. Паспорт отчет о закупке'!$A$27:$CD$86,51,0)/1000,"нд")</f>
        <v>39.02351762</v>
      </c>
    </row>
    <row r="36" spans="1:2" x14ac:dyDescent="0.25">
      <c r="A36" s="168" t="s">
        <v>437</v>
      </c>
      <c r="B36" s="161">
        <f>IF(VLOOKUP(1,'7. Паспорт отчет о закупке'!$A$27:$CD$86,52,0)="ИП",VLOOKUP(1,'7. Паспорт отчет о закупке'!$A$27:$CD$86,50,0)/1000,"нд")</f>
        <v>32.51959802999999</v>
      </c>
    </row>
    <row r="37" spans="1:2" ht="30" x14ac:dyDescent="0.25">
      <c r="A37" s="168" t="s">
        <v>433</v>
      </c>
      <c r="B37" s="161">
        <f>IF(VLOOKUP(2,'7. Паспорт отчет о закупке'!$A$27:$CD$86,52,0)="ИП",VLOOKUP(2,'7. Паспорт отчет о закупке'!$A$27:$CD$86,30,0)/1000,"нд")</f>
        <v>3.2029087599999997</v>
      </c>
    </row>
    <row r="38" spans="1:2" x14ac:dyDescent="0.25">
      <c r="A38" s="168" t="s">
        <v>315</v>
      </c>
      <c r="B38" s="161">
        <f>IF(B37="нд","нд",$B37/$B$27*100)</f>
        <v>3.3688534447093632</v>
      </c>
    </row>
    <row r="39" spans="1:2" x14ac:dyDescent="0.25">
      <c r="A39" s="168" t="s">
        <v>316</v>
      </c>
      <c r="B39" s="161">
        <f>IF(VLOOKUP(2,'7. Паспорт отчет о закупке'!$A$27:$CD$86,52,0)="ИП",VLOOKUP(2,'7. Паспорт отчет о закупке'!$A$27:$CD$86,51,0)/1000,"нд")</f>
        <v>3.2029087599999997</v>
      </c>
    </row>
    <row r="40" spans="1:2" x14ac:dyDescent="0.25">
      <c r="A40" s="168" t="s">
        <v>437</v>
      </c>
      <c r="B40" s="161">
        <f>IF(VLOOKUP(2,'7. Паспорт отчет о закупке'!$A$27:$CD$86,52,0)="ИП",VLOOKUP(2,'7. Паспорт отчет о закупке'!$A$27:$CD$86,50,0)/1000,"нд")</f>
        <v>2.6690906300000004</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t="str">
        <f>IF(VLOOKUP(5,'7. Паспорт отчет о закупке'!$A$27:$CD$86,52,0)="ИП",VLOOKUP(5,'7. Паспорт отчет о закупке'!$A$27:$CD$86,30,0)/1000,"нд")</f>
        <v>нд</v>
      </c>
    </row>
    <row r="50" spans="1:2" x14ac:dyDescent="0.25">
      <c r="A50" s="168" t="s">
        <v>315</v>
      </c>
      <c r="B50" s="161" t="str">
        <f>IF(B49="нд","нд",$B49/$B$27*100)</f>
        <v>нд</v>
      </c>
    </row>
    <row r="51" spans="1:2" x14ac:dyDescent="0.25">
      <c r="A51" s="168" t="s">
        <v>316</v>
      </c>
      <c r="B51" s="161" t="str">
        <f>IF(VLOOKUP(5,'7. Паспорт отчет о закупке'!$A$27:$CD$86,52,0)="ИП",VLOOKUP(5,'7. Паспорт отчет о закупке'!$A$27:$CD$86,51,0)/1000,"нд")</f>
        <v>нд</v>
      </c>
    </row>
    <row r="52" spans="1:2" x14ac:dyDescent="0.25">
      <c r="A52" s="168" t="s">
        <v>437</v>
      </c>
      <c r="B52" s="161" t="str">
        <f>IF(VLOOKUP(5,'7. Паспорт отчет о закупке'!$A$27:$CD$86,52,0)="ИП",VLOOKUP(5,'7. Паспорт отчет о закупке'!$A$27:$CD$86,50,0)/1000,"нд")</f>
        <v>нд</v>
      </c>
    </row>
    <row r="53" spans="1:2" ht="30" x14ac:dyDescent="0.25">
      <c r="A53" s="168" t="s">
        <v>433</v>
      </c>
      <c r="B53" s="161" t="str">
        <f>IF(VLOOKUP(6,'7. Паспорт отчет о закупке'!$A$27:$CD$86,52,0)="ИП",VLOOKUP(6,'7. Паспорт отчет о закупке'!$A$27:$CD$86,30,0)/1000,"нд")</f>
        <v>нд</v>
      </c>
    </row>
    <row r="54" spans="1:2" x14ac:dyDescent="0.25">
      <c r="A54" s="168" t="s">
        <v>315</v>
      </c>
      <c r="B54" s="161" t="str">
        <f>IF(B53="нд","нд",$B53/$B$27*100)</f>
        <v>нд</v>
      </c>
    </row>
    <row r="55" spans="1:2" x14ac:dyDescent="0.25">
      <c r="A55" s="168" t="s">
        <v>316</v>
      </c>
      <c r="B55" s="161" t="str">
        <f>IF(VLOOKUP(6,'7. Паспорт отчет о закупке'!$A$27:$CD$86,52,0)="ИП",VLOOKUP(6,'7. Паспорт отчет о закупке'!$A$27:$CD$86,51,0)/1000,"нд")</f>
        <v>нд</v>
      </c>
    </row>
    <row r="56" spans="1:2" x14ac:dyDescent="0.25">
      <c r="A56" s="168" t="s">
        <v>437</v>
      </c>
      <c r="B56" s="161" t="str">
        <f>IF(VLOOKUP(6,'7. Паспорт отчет о закупке'!$A$27:$CD$86,52,0)="ИП",VLOOKUP(6,'7. Паспорт отчет о закупке'!$A$27:$CD$86,50,0)/1000,"нд")</f>
        <v>нд</v>
      </c>
    </row>
    <row r="57" spans="1:2" ht="28.5" x14ac:dyDescent="0.25">
      <c r="A57" s="169" t="s">
        <v>317</v>
      </c>
      <c r="B57" s="171">
        <f>SUM(SUMIF(B58,"&gt;0",B58),SUMIF(B62,"&gt;0",B62),SUMIF(B66,"&gt;0",B66),SUMIF(B70,"&gt;0",B70),SUMIF(B74,"&gt;0",B74))</f>
        <v>44.818418399999999</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37.7652</v>
      </c>
    </row>
    <row r="67" spans="1:2" x14ac:dyDescent="0.25">
      <c r="A67" s="168" t="s">
        <v>315</v>
      </c>
      <c r="B67" s="161">
        <f>IF(B66="нд","нд",$B66/$B$27*100)</f>
        <v>39.721838379853835</v>
      </c>
    </row>
    <row r="68" spans="1:2" x14ac:dyDescent="0.25">
      <c r="A68" s="168" t="s">
        <v>316</v>
      </c>
      <c r="B68" s="161">
        <f>IF(VLOOKUP(3,'7. Паспорт отчет о закупке'!$A$27:$CD$86,52,0)="ПД",VLOOKUP(3,'7. Паспорт отчет о закупке'!$A$27:$CD$86,51,0)/1000,"нд")</f>
        <v>37.7652</v>
      </c>
    </row>
    <row r="69" spans="1:2" x14ac:dyDescent="0.25">
      <c r="A69" s="168" t="s">
        <v>437</v>
      </c>
      <c r="B69" s="161">
        <f>IF(VLOOKUP(3,'7. Паспорт отчет о закупке'!$A$27:$CD$86,52,0)="ПД",VLOOKUP(3,'7. Паспорт отчет о закупке'!$A$27:$CD$86,50,0)/1000,"нд")</f>
        <v>31.471</v>
      </c>
    </row>
    <row r="70" spans="1:2" ht="30" x14ac:dyDescent="0.25">
      <c r="A70" s="168" t="s">
        <v>433</v>
      </c>
      <c r="B70" s="161">
        <f>IF(VLOOKUP(4,'7. Паспорт отчет о закупке'!$A$27:$CD$86,52,0)="ПД",VLOOKUP(4,'7. Паспорт отчет о закупке'!$A$27:$CD$86,30,0)/1000,"нд")</f>
        <v>7.0532183999999996</v>
      </c>
    </row>
    <row r="71" spans="1:2" x14ac:dyDescent="0.25">
      <c r="A71" s="168" t="s">
        <v>315</v>
      </c>
      <c r="B71" s="161">
        <f>IF(B70="нд","нд",$B70/$B$27*100)</f>
        <v>7.4186500096017296</v>
      </c>
    </row>
    <row r="72" spans="1:2" x14ac:dyDescent="0.25">
      <c r="A72" s="168" t="s">
        <v>316</v>
      </c>
      <c r="B72" s="161">
        <f>IF(VLOOKUP(4,'7. Паспорт отчет о закупке'!$A$27:$CD$86,52,0)="ПД",VLOOKUP(4,'7. Паспорт отчет о закупке'!$A$27:$CD$86,51,0)/1000,"нд")</f>
        <v>37.7652</v>
      </c>
    </row>
    <row r="73" spans="1:2" x14ac:dyDescent="0.25">
      <c r="A73" s="168" t="s">
        <v>437</v>
      </c>
      <c r="B73" s="161">
        <f>IF(VLOOKUP(4,'7. Паспорт отчет о закупке'!$A$27:$CD$86,52,0)="ПД",VLOOKUP(4,'7. Паспорт отчет о закупке'!$A$27:$CD$86,50,0)/1000,"нд")</f>
        <v>31.471</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40.514167003427715</v>
      </c>
      <c r="C85" s="194"/>
      <c r="D85" s="195"/>
      <c r="E85" s="194"/>
      <c r="F85" s="194"/>
      <c r="G85" s="194"/>
    </row>
    <row r="86" spans="1:7" x14ac:dyDescent="0.25">
      <c r="A86" s="163" t="s">
        <v>321</v>
      </c>
      <c r="B86" s="166">
        <f>SUMIF('7. Паспорт отчет о закупке'!$BA$27:$BA$86,"ТМЦ",'7. Паспорт отчет о закупке'!$AD$27:$AD$86)/1000/$B$27*100</f>
        <v>47.140488389455562</v>
      </c>
      <c r="C86" s="194"/>
      <c r="D86" s="195"/>
      <c r="E86" s="194"/>
      <c r="F86" s="194"/>
      <c r="G86" s="194"/>
    </row>
    <row r="87" spans="1:7" x14ac:dyDescent="0.25">
      <c r="A87" s="163" t="s">
        <v>322</v>
      </c>
      <c r="B87" s="166">
        <f>SUMIF('7. Паспорт отчет о закупке'!$BA$27:$BA$86,"ПИР",'7. Паспорт отчет о закупке'!$AD$27:$AD$86)/1000/$B$27*100</f>
        <v>3.3688534447093632</v>
      </c>
      <c r="C87" s="194"/>
      <c r="D87" s="195"/>
      <c r="E87" s="194"/>
      <c r="F87" s="194"/>
      <c r="G87" s="194"/>
    </row>
    <row r="88" spans="1:7" ht="30" x14ac:dyDescent="0.25">
      <c r="A88" s="158" t="s">
        <v>439</v>
      </c>
      <c r="B88" s="171">
        <v>21.516012249923676</v>
      </c>
      <c r="C88" s="194"/>
      <c r="D88" s="194"/>
      <c r="E88" s="194"/>
      <c r="F88" s="194"/>
      <c r="G88" s="194"/>
    </row>
    <row r="89" spans="1:7" x14ac:dyDescent="0.25">
      <c r="A89" s="158" t="s">
        <v>323</v>
      </c>
      <c r="B89" s="171">
        <f>'6.2. Паспорт фин осв ввод'!D24-'6.2. Паспорт фин осв ввод'!E24</f>
        <v>81.073059457589181</v>
      </c>
    </row>
    <row r="90" spans="1:7" x14ac:dyDescent="0.25">
      <c r="A90" s="158" t="s">
        <v>436</v>
      </c>
      <c r="B90" s="171">
        <f>IFERROR(SUM(B91*1.2/$B$27*100),0)</f>
        <v>85.488528605396155</v>
      </c>
    </row>
    <row r="91" spans="1:7" x14ac:dyDescent="0.25">
      <c r="A91" s="158" t="s">
        <v>441</v>
      </c>
      <c r="B91" s="171">
        <f>'6.2. Паспорт фин осв ввод'!D34-'6.2. Паспорт фин осв ввод'!E34</f>
        <v>67.731242899999998</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АО "РЭМиС", СМР, Выполнение строительно-монтажных и пусконаладочных работ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договор № ИП-23-00029 от 28.02.2023
ООО "ПЦ Сибири", ПИР, Выполнение проектно-изыскательских работ по проектам: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и  "Реконструкция ПС 220 кВ Урожай в части установки линейного регулировочного трансформатора (2 шт.) мощностью 16 МВА, ячеек ЗРУ 10 кВ с выполнением сопутствующего объема работ" , договор № ИП-22-00125 от 19.05.2022
ООО "Остерон", ТМЦ, Поставка линейно-регулировочных трансформаторов, договор № ПД-19-00437 от 04.02.2020
ОБЩЕСТВО С ОГРАНИЧЕННОЙ ОТВЕТСТВЕННОСТЬЮ "ЭКРА-СИБИРЬ", ТМЦ, Поставка шкафов защит по проекту "Реконструкция ПС 220 кВ Южная в части установки линейных регулировочных трансформаторов (2 шт.) мощностью 16 МВА, демонтажа трансформатора 3Т мощностью 16 МВА с выполнением сопутствующего объема работ" (2 ПК), договор № ПД-24-00190 от 10.09.2024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508</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M_00.0003.000003</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4" t="s">
        <v>63</v>
      </c>
      <c r="B22" s="305" t="s">
        <v>425</v>
      </c>
      <c r="C22" s="303" t="s">
        <v>425</v>
      </c>
      <c r="D22" s="303" t="s">
        <v>425</v>
      </c>
      <c r="E22" s="303" t="s">
        <v>425</v>
      </c>
      <c r="F22" s="303"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4"/>
      <c r="B23" s="306"/>
      <c r="C23" s="303"/>
      <c r="D23" s="303"/>
      <c r="E23" s="303"/>
      <c r="F23" s="303"/>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4"/>
      <c r="B24" s="307"/>
      <c r="C24" s="303"/>
      <c r="D24" s="303"/>
      <c r="E24" s="303"/>
      <c r="F24" s="303"/>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4" t="s">
        <v>61</v>
      </c>
      <c r="B25" s="305" t="s">
        <v>425</v>
      </c>
      <c r="C25" s="303" t="s">
        <v>425</v>
      </c>
      <c r="D25" s="303" t="s">
        <v>425</v>
      </c>
      <c r="E25" s="303" t="s">
        <v>425</v>
      </c>
      <c r="F25" s="303"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4"/>
      <c r="B26" s="306"/>
      <c r="C26" s="303"/>
      <c r="D26" s="303"/>
      <c r="E26" s="303"/>
      <c r="F26" s="303"/>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4"/>
      <c r="B27" s="307"/>
      <c r="C27" s="303"/>
      <c r="D27" s="303"/>
      <c r="E27" s="303"/>
      <c r="F27" s="303"/>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4">
        <v>3</v>
      </c>
      <c r="B28" s="305" t="s">
        <v>425</v>
      </c>
      <c r="C28" s="303" t="s">
        <v>425</v>
      </c>
      <c r="D28" s="303" t="s">
        <v>425</v>
      </c>
      <c r="E28" s="303" t="s">
        <v>425</v>
      </c>
      <c r="F28" s="303"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4"/>
      <c r="B29" s="306"/>
      <c r="C29" s="303"/>
      <c r="D29" s="303"/>
      <c r="E29" s="303"/>
      <c r="F29" s="303"/>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4"/>
      <c r="B30" s="307"/>
      <c r="C30" s="303"/>
      <c r="D30" s="303"/>
      <c r="E30" s="303"/>
      <c r="F30" s="303"/>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4">
        <v>4</v>
      </c>
      <c r="B31" s="305" t="s">
        <v>425</v>
      </c>
      <c r="C31" s="303" t="s">
        <v>425</v>
      </c>
      <c r="D31" s="303" t="s">
        <v>425</v>
      </c>
      <c r="E31" s="303" t="s">
        <v>425</v>
      </c>
      <c r="F31" s="303"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4"/>
      <c r="B32" s="306"/>
      <c r="C32" s="303"/>
      <c r="D32" s="303"/>
      <c r="E32" s="303"/>
      <c r="F32" s="303"/>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4"/>
      <c r="B33" s="307"/>
      <c r="C33" s="303"/>
      <c r="D33" s="303"/>
      <c r="E33" s="303"/>
      <c r="F33" s="303"/>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4">
        <v>5</v>
      </c>
      <c r="B34" s="305" t="s">
        <v>425</v>
      </c>
      <c r="C34" s="303" t="s">
        <v>425</v>
      </c>
      <c r="D34" s="303" t="s">
        <v>425</v>
      </c>
      <c r="E34" s="303" t="s">
        <v>425</v>
      </c>
      <c r="F34" s="303"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4"/>
      <c r="B35" s="306"/>
      <c r="C35" s="303"/>
      <c r="D35" s="303"/>
      <c r="E35" s="303"/>
      <c r="F35" s="303"/>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4"/>
      <c r="B36" s="307"/>
      <c r="C36" s="303"/>
      <c r="D36" s="303"/>
      <c r="E36" s="303"/>
      <c r="F36" s="303"/>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M_00.0003.000003</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555</v>
      </c>
      <c r="C25" s="151" t="s">
        <v>555</v>
      </c>
      <c r="D25" s="151" t="s">
        <v>561</v>
      </c>
      <c r="E25" s="151" t="s">
        <v>562</v>
      </c>
      <c r="F25" s="151" t="s">
        <v>425</v>
      </c>
      <c r="G25" s="151" t="s">
        <v>563</v>
      </c>
      <c r="H25" s="151" t="s">
        <v>425</v>
      </c>
      <c r="I25" s="151">
        <v>1983</v>
      </c>
      <c r="J25" s="151" t="s">
        <v>425</v>
      </c>
      <c r="K25" s="151">
        <v>1997</v>
      </c>
      <c r="L25" s="151" t="s">
        <v>564</v>
      </c>
      <c r="M25" s="151" t="s">
        <v>425</v>
      </c>
      <c r="N25" s="151">
        <v>16</v>
      </c>
      <c r="O25" s="151" t="s">
        <v>425</v>
      </c>
      <c r="P25" s="244" t="s">
        <v>425</v>
      </c>
      <c r="Q25" s="151" t="s">
        <v>425</v>
      </c>
      <c r="R25" s="151" t="s">
        <v>425</v>
      </c>
      <c r="S25" s="151" t="s">
        <v>425</v>
      </c>
      <c r="T25" s="151" t="s">
        <v>425</v>
      </c>
    </row>
    <row r="26" spans="1:20" s="152" customFormat="1" ht="112.5" customHeight="1" x14ac:dyDescent="0.25">
      <c r="A26" s="151">
        <v>2</v>
      </c>
      <c r="B26" s="151" t="s">
        <v>555</v>
      </c>
      <c r="C26" s="151" t="s">
        <v>555</v>
      </c>
      <c r="D26" s="151" t="s">
        <v>99</v>
      </c>
      <c r="E26" s="151" t="s">
        <v>565</v>
      </c>
      <c r="F26" s="151" t="s">
        <v>425</v>
      </c>
      <c r="G26" s="151" t="s">
        <v>566</v>
      </c>
      <c r="H26" s="151" t="s">
        <v>425</v>
      </c>
      <c r="I26" s="151">
        <v>1975</v>
      </c>
      <c r="J26" s="151" t="s">
        <v>425</v>
      </c>
      <c r="K26" s="151">
        <v>1975</v>
      </c>
      <c r="L26" s="151" t="s">
        <v>69</v>
      </c>
      <c r="M26" s="151" t="s">
        <v>425</v>
      </c>
      <c r="N26" s="151" t="s">
        <v>425</v>
      </c>
      <c r="O26" s="151" t="s">
        <v>425</v>
      </c>
      <c r="P26" s="151" t="s">
        <v>425</v>
      </c>
      <c r="Q26" s="151" t="s">
        <v>425</v>
      </c>
      <c r="R26" s="151" t="s">
        <v>425</v>
      </c>
      <c r="S26" s="151" t="s">
        <v>425</v>
      </c>
      <c r="T26" s="151" t="s">
        <v>425</v>
      </c>
    </row>
    <row r="27" spans="1:20" s="152" customFormat="1" ht="112.5" customHeight="1" x14ac:dyDescent="0.25">
      <c r="A27" s="151">
        <v>3</v>
      </c>
      <c r="B27" s="151" t="s">
        <v>555</v>
      </c>
      <c r="C27" s="151" t="s">
        <v>555</v>
      </c>
      <c r="D27" s="151" t="s">
        <v>99</v>
      </c>
      <c r="E27" s="151" t="s">
        <v>565</v>
      </c>
      <c r="F27" s="151" t="s">
        <v>425</v>
      </c>
      <c r="G27" s="151" t="s">
        <v>567</v>
      </c>
      <c r="H27" s="151" t="s">
        <v>425</v>
      </c>
      <c r="I27" s="151">
        <v>1975</v>
      </c>
      <c r="J27" s="151" t="s">
        <v>425</v>
      </c>
      <c r="K27" s="151">
        <v>1975</v>
      </c>
      <c r="L27" s="151" t="s">
        <v>69</v>
      </c>
      <c r="M27" s="151" t="s">
        <v>425</v>
      </c>
      <c r="N27" s="151" t="s">
        <v>425</v>
      </c>
      <c r="O27" s="151" t="s">
        <v>425</v>
      </c>
      <c r="P27" s="151" t="s">
        <v>425</v>
      </c>
      <c r="Q27" s="151" t="s">
        <v>425</v>
      </c>
      <c r="R27" s="151" t="s">
        <v>425</v>
      </c>
      <c r="S27" s="151" t="s">
        <v>425</v>
      </c>
      <c r="T27" s="151" t="s">
        <v>425</v>
      </c>
    </row>
    <row r="28" spans="1:20" s="152" customFormat="1" ht="112.5" customHeight="1" x14ac:dyDescent="0.25">
      <c r="A28" s="151">
        <v>4</v>
      </c>
      <c r="B28" s="151" t="s">
        <v>425</v>
      </c>
      <c r="C28" s="151" t="s">
        <v>425</v>
      </c>
      <c r="D28" s="151" t="s">
        <v>425</v>
      </c>
      <c r="E28" s="151" t="s">
        <v>425</v>
      </c>
      <c r="F28" s="151" t="s">
        <v>425</v>
      </c>
      <c r="G28" s="151" t="s">
        <v>425</v>
      </c>
      <c r="H28" s="151" t="s">
        <v>425</v>
      </c>
      <c r="I28" s="151" t="s">
        <v>425</v>
      </c>
      <c r="J28" s="151" t="s">
        <v>425</v>
      </c>
      <c r="K28" s="151" t="s">
        <v>425</v>
      </c>
      <c r="L28" s="151" t="s">
        <v>425</v>
      </c>
      <c r="M28" s="151" t="s">
        <v>425</v>
      </c>
      <c r="N28" s="151" t="s">
        <v>425</v>
      </c>
      <c r="O28" s="151" t="s">
        <v>425</v>
      </c>
      <c r="P28" s="151" t="s">
        <v>425</v>
      </c>
      <c r="Q28" s="151" t="s">
        <v>425</v>
      </c>
      <c r="R28" s="151" t="s">
        <v>425</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M_00.0003.000003</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553</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554</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555</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556</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557</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558</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43831</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559</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M_00.0003.000003</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M_00.0003.000003</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M_00.0003.000003</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O26" sqref="O26"/>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448</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M_00.0003.000003</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444</v>
      </c>
      <c r="D22" s="430"/>
      <c r="E22" s="436" t="s">
        <v>452</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44562</v>
      </c>
      <c r="D25" s="255">
        <v>45473</v>
      </c>
      <c r="E25" s="255">
        <v>44640</v>
      </c>
      <c r="F25" s="255">
        <v>45656</v>
      </c>
      <c r="G25" s="256">
        <v>0.9</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44562</v>
      </c>
      <c r="D31" s="255">
        <v>45323</v>
      </c>
      <c r="E31" s="255">
        <v>44640</v>
      </c>
      <c r="F31" s="255">
        <v>45274</v>
      </c>
      <c r="G31" s="260">
        <v>1</v>
      </c>
      <c r="H31" s="260">
        <v>1</v>
      </c>
      <c r="I31" s="257" t="s">
        <v>425</v>
      </c>
      <c r="J31" s="257" t="s">
        <v>425</v>
      </c>
    </row>
    <row r="32" spans="1:12" x14ac:dyDescent="0.25">
      <c r="A32" s="257" t="s">
        <v>466</v>
      </c>
      <c r="B32" s="258" t="s">
        <v>467</v>
      </c>
      <c r="C32" s="255">
        <v>44730</v>
      </c>
      <c r="D32" s="255">
        <v>45443</v>
      </c>
      <c r="E32" s="255">
        <v>44760</v>
      </c>
      <c r="F32" s="255">
        <v>45626</v>
      </c>
      <c r="G32" s="260" t="s">
        <v>576</v>
      </c>
      <c r="H32" s="260" t="s">
        <v>425</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45473</v>
      </c>
      <c r="E35" s="255">
        <v>44867</v>
      </c>
      <c r="F35" s="255">
        <v>45656</v>
      </c>
      <c r="G35" s="260" t="s">
        <v>577</v>
      </c>
      <c r="H35" s="260" t="s">
        <v>425</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44885</v>
      </c>
      <c r="D37" s="255">
        <v>45443</v>
      </c>
      <c r="E37" s="255">
        <v>44885</v>
      </c>
      <c r="F37" s="255">
        <v>45626</v>
      </c>
      <c r="G37" s="260" t="s">
        <v>576</v>
      </c>
      <c r="H37" s="260" t="s">
        <v>425</v>
      </c>
      <c r="I37" s="257" t="s">
        <v>425</v>
      </c>
      <c r="J37" s="257" t="s">
        <v>425</v>
      </c>
    </row>
    <row r="38" spans="1:10" ht="31.5" x14ac:dyDescent="0.25">
      <c r="A38" s="252">
        <v>2</v>
      </c>
      <c r="B38" s="254" t="s">
        <v>503</v>
      </c>
      <c r="C38" s="255" t="s">
        <v>425</v>
      </c>
      <c r="D38" s="255" t="s">
        <v>425</v>
      </c>
      <c r="E38" s="255" t="s">
        <v>425</v>
      </c>
      <c r="F38" s="255" t="s">
        <v>425</v>
      </c>
      <c r="G38" s="261">
        <v>0.9</v>
      </c>
      <c r="H38" s="261">
        <v>1</v>
      </c>
      <c r="I38" s="252" t="s">
        <v>425</v>
      </c>
      <c r="J38" s="252" t="s">
        <v>425</v>
      </c>
    </row>
    <row r="39" spans="1:10" ht="31.5" x14ac:dyDescent="0.25">
      <c r="A39" s="262" t="s">
        <v>478</v>
      </c>
      <c r="B39" s="258" t="s">
        <v>479</v>
      </c>
      <c r="C39" s="255">
        <v>44860</v>
      </c>
      <c r="D39" s="255">
        <v>45443</v>
      </c>
      <c r="E39" s="255">
        <v>44925</v>
      </c>
      <c r="F39" s="255">
        <v>45656</v>
      </c>
      <c r="G39" s="263" t="s">
        <v>577</v>
      </c>
      <c r="H39" s="263" t="s">
        <v>425</v>
      </c>
      <c r="I39" s="257" t="s">
        <v>425</v>
      </c>
      <c r="J39" s="257" t="s">
        <v>425</v>
      </c>
    </row>
    <row r="40" spans="1:10" x14ac:dyDescent="0.25">
      <c r="A40" s="262" t="s">
        <v>480</v>
      </c>
      <c r="B40" s="258" t="s">
        <v>481</v>
      </c>
      <c r="C40" s="255">
        <v>43831</v>
      </c>
      <c r="D40" s="255" t="s">
        <v>425</v>
      </c>
      <c r="E40" s="255">
        <v>43829</v>
      </c>
      <c r="F40" s="255">
        <v>43865</v>
      </c>
      <c r="G40" s="263">
        <v>1</v>
      </c>
      <c r="H40" s="263">
        <v>1</v>
      </c>
      <c r="I40" s="257" t="s">
        <v>425</v>
      </c>
      <c r="J40" s="257" t="s">
        <v>425</v>
      </c>
    </row>
    <row r="41" spans="1:10" x14ac:dyDescent="0.25">
      <c r="A41" s="252">
        <v>3</v>
      </c>
      <c r="B41" s="254" t="s">
        <v>482</v>
      </c>
      <c r="C41" s="255">
        <v>45017</v>
      </c>
      <c r="D41" s="255">
        <v>45563</v>
      </c>
      <c r="E41" s="255">
        <v>43865</v>
      </c>
      <c r="F41" s="255">
        <v>46006</v>
      </c>
      <c r="G41" s="261">
        <v>0.88000000000000012</v>
      </c>
      <c r="H41" s="261">
        <v>1</v>
      </c>
      <c r="I41" s="252" t="s">
        <v>425</v>
      </c>
      <c r="J41" s="252" t="s">
        <v>425</v>
      </c>
    </row>
    <row r="42" spans="1:10" x14ac:dyDescent="0.25">
      <c r="A42" s="257" t="s">
        <v>483</v>
      </c>
      <c r="B42" s="258" t="s">
        <v>484</v>
      </c>
      <c r="C42" s="255">
        <v>45017</v>
      </c>
      <c r="D42" s="255">
        <v>45503</v>
      </c>
      <c r="E42" s="255">
        <v>45017</v>
      </c>
      <c r="F42" s="255">
        <v>45899</v>
      </c>
      <c r="G42" s="263" t="s">
        <v>577</v>
      </c>
      <c r="H42" s="263" t="s">
        <v>425</v>
      </c>
      <c r="I42" s="257" t="s">
        <v>425</v>
      </c>
      <c r="J42" s="257" t="s">
        <v>425</v>
      </c>
    </row>
    <row r="43" spans="1:10" x14ac:dyDescent="0.25">
      <c r="A43" s="257" t="s">
        <v>485</v>
      </c>
      <c r="B43" s="258" t="s">
        <v>486</v>
      </c>
      <c r="C43" s="255" t="s">
        <v>425</v>
      </c>
      <c r="D43" s="255">
        <v>44224</v>
      </c>
      <c r="E43" s="255">
        <v>43865</v>
      </c>
      <c r="F43" s="255">
        <v>44195</v>
      </c>
      <c r="G43" s="263">
        <v>1</v>
      </c>
      <c r="H43" s="263">
        <v>1</v>
      </c>
      <c r="I43" s="257" t="s">
        <v>425</v>
      </c>
      <c r="J43" s="257" t="s">
        <v>425</v>
      </c>
    </row>
    <row r="44" spans="1:10" x14ac:dyDescent="0.25">
      <c r="A44" s="257" t="s">
        <v>487</v>
      </c>
      <c r="B44" s="258" t="s">
        <v>488</v>
      </c>
      <c r="C44" s="255">
        <v>45047</v>
      </c>
      <c r="D44" s="255">
        <v>45503</v>
      </c>
      <c r="E44" s="255">
        <v>45047</v>
      </c>
      <c r="F44" s="255">
        <v>45991</v>
      </c>
      <c r="G44" s="263" t="s">
        <v>577</v>
      </c>
      <c r="H44" s="263" t="s">
        <v>425</v>
      </c>
      <c r="I44" s="257" t="s">
        <v>425</v>
      </c>
      <c r="J44" s="257" t="s">
        <v>425</v>
      </c>
    </row>
    <row r="45" spans="1:10" ht="31.5" x14ac:dyDescent="0.25">
      <c r="A45" s="257" t="s">
        <v>489</v>
      </c>
      <c r="B45" s="258" t="s">
        <v>490</v>
      </c>
      <c r="C45" s="255">
        <v>45237</v>
      </c>
      <c r="D45" s="255">
        <v>45267</v>
      </c>
      <c r="E45" s="255">
        <v>45237</v>
      </c>
      <c r="F45" s="255">
        <v>45316</v>
      </c>
      <c r="G45" s="263">
        <v>1</v>
      </c>
      <c r="H45" s="263">
        <v>1</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45147</v>
      </c>
      <c r="D47" s="255">
        <v>45563</v>
      </c>
      <c r="E47" s="255">
        <v>45147</v>
      </c>
      <c r="F47" s="255">
        <v>46006</v>
      </c>
      <c r="G47" s="263" t="s">
        <v>577</v>
      </c>
      <c r="H47" s="263" t="s">
        <v>425</v>
      </c>
      <c r="I47" s="257" t="s">
        <v>425</v>
      </c>
      <c r="J47" s="257" t="s">
        <v>425</v>
      </c>
    </row>
    <row r="48" spans="1:10" x14ac:dyDescent="0.25">
      <c r="A48" s="252">
        <v>4</v>
      </c>
      <c r="B48" s="254" t="s">
        <v>495</v>
      </c>
      <c r="C48" s="255">
        <v>45563</v>
      </c>
      <c r="D48" s="255">
        <v>45656</v>
      </c>
      <c r="E48" s="255">
        <v>45200</v>
      </c>
      <c r="F48" s="255">
        <v>46021</v>
      </c>
      <c r="G48" s="261">
        <v>0.8</v>
      </c>
      <c r="H48" s="261" t="s">
        <v>425</v>
      </c>
      <c r="I48" s="252" t="s">
        <v>425</v>
      </c>
      <c r="J48" s="252" t="s">
        <v>425</v>
      </c>
    </row>
    <row r="49" spans="1:10" x14ac:dyDescent="0.25">
      <c r="A49" s="257" t="s">
        <v>496</v>
      </c>
      <c r="B49" s="258" t="s">
        <v>497</v>
      </c>
      <c r="C49" s="255">
        <v>45563</v>
      </c>
      <c r="D49" s="255">
        <v>45566</v>
      </c>
      <c r="E49" s="255">
        <v>45237</v>
      </c>
      <c r="F49" s="255">
        <v>46010</v>
      </c>
      <c r="G49" s="263" t="s">
        <v>577</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t="s">
        <v>425</v>
      </c>
      <c r="D51" s="255" t="s">
        <v>425</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45566</v>
      </c>
      <c r="D53" s="255">
        <v>45656</v>
      </c>
      <c r="E53" s="255">
        <v>45200</v>
      </c>
      <c r="F53" s="255">
        <v>46021</v>
      </c>
      <c r="G53" s="263" t="s">
        <v>577</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2024-11-14T09:34:07Z</dcterms:modified>
</cp:coreProperties>
</file>