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E75E6BD-E4AD-4F2C-9742-D5E02E2A7187}"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5" i="5" l="1"/>
  <c r="AE36" i="5"/>
  <c r="AE37" i="5"/>
  <c r="AE38" i="5"/>
  <c r="AE39" i="5"/>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82" i="5"/>
  <c r="AE85" i="5"/>
  <c r="AE73" i="5"/>
  <c r="AE72"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80" i="5" l="1"/>
  <c r="AE77" i="5"/>
  <c r="AE81" i="5"/>
  <c r="AE62" i="5"/>
  <c r="AE78" i="5"/>
  <c r="AE71" i="5"/>
  <c r="AE70" i="5"/>
  <c r="AE51" i="5"/>
  <c r="AE74" i="5"/>
  <c r="AE84" i="5"/>
  <c r="AE46" i="5"/>
  <c r="AE44" i="5"/>
  <c r="AE41" i="5"/>
  <c r="AE29" i="5"/>
  <c r="AE42" i="5"/>
  <c r="AE34" i="5"/>
  <c r="AE55" i="5"/>
  <c r="AE60" i="5"/>
  <c r="AE75" i="5"/>
  <c r="AE79" i="5"/>
  <c r="AE30" i="5"/>
  <c r="AE54" i="5"/>
  <c r="AE52" i="5"/>
  <c r="AE28"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<sst xmlns="http://schemas.openxmlformats.org/spreadsheetml/2006/main" count="4302" uniqueCount="635">
  <si>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</si>
  <si>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</si>
  <si>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</si>
  <si>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</si>
  <si>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</si>
  <si>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</si>
  <si>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</si>
  <si>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</si>
  <si>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</si>
  <si>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</si>
  <si>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</si>
  <si>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</si>
  <si>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</si>
  <si>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</si>
  <si>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</si>
  <si>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</si>
  <si>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</si>
  <si>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</si>
  <si>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</si>
  <si>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</si>
  <si>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</si>
  <si>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</si>
  <si>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</si>
  <si>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</si>
  <si>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</si>
  <si>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</si>
  <si>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</si>
  <si>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</si>
  <si>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</si>
  <si>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</si>
  <si>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</si>
  <si>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</si>
  <si>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</si>
  <si>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</si>
  <si>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</si>
  <si>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</si>
  <si>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</si>
  <si>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</si>
  <si>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</si>
  <si>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</si>
  <si>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</si>
  <si>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</si>
  <si>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</si>
  <si>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</si>
  <si>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</si>
  <si>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</si>
  <si>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</si>
  <si>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</si>
  <si>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</si>
  <si>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</si>
  <si>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</si>
  <si>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</si>
  <si>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</si>
  <si>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</si>
  <si>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</si>
  <si>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</si>
  <si>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</si>
  <si>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</si>
  <si>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</si>
  <si>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</si>
  <si>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</si>
  <si>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</si>
  <si>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</si>
  <si>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</si>
  <si>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</si>
  <si>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</si>
  <si>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</si>
  <si>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</si>
  <si>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</si>
  <si>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</si>
  <si>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</si>
  <si>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</si>
  <si>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</si>
  <si>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</si>
  <si>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</si>
  <si>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</si>
  <si>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</si>
  <si>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</si>
  <si>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</si>
  <si>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</si>
  <si>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</si>
  <si>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</si>
  <si>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</si>
  <si>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</si>
  <si>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</si>
  <si>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</si>
  <si>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</si>
  <si>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</si>
  <si>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</si>
  <si>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</si>
  <si>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</si>
  <si>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</si>
  <si>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</si>
  <si>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</si>
  <si>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</si>
  <si>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</si>
  <si>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</si>
  <si>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</si>
  <si>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</si>
  <si>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</si>
  <si>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</si>
  <si>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</si>
  <si>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</si>
  <si>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</si>
  <si>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</si>
  <si>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</si>
  <si>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</si>
  <si>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</si>
  <si>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</si>
  <si>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</si>
  <si>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</si>
  <si>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</si>
  <si>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</si>
  <si>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</si>
  <si>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</si>
  <si>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</si>
  <si>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</si>
  <si>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</si>
  <si>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</si>
  <si>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</si>
  <si>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</si>
  <si>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</si>
  <si>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</si>
  <si>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</si>
  <si>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</si>
  <si>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</si>
  <si>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</si>
  <si>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</si>
  <si>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</si>
  <si>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</si>
  <si>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</si>
  <si>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</si>
  <si>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</si>
  <si>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</si>
  <si>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</si>
  <si>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</si>
  <si>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</si>
  <si>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</si>
  <si>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</si>
  <si>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</si>
  <si>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</si>
  <si>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</si>
  <si>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</si>
  <si>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</si>
  <si>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</si>
  <si>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</si>
  <si>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</si>
  <si>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</si>
  <si>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</si>
  <si>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</si>
  <si>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</si>
  <si>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</si>
  <si>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</si>
  <si>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</si>
  <si>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</si>
  <si>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</si>
  <si>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</si>
  <si>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</si>
  <si>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</si>
  <si>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</si>
  <si>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</si>
  <si>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</si>
  <si>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</si>
  <si>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</si>
  <si>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</si>
  <si>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</si>
  <si>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</si>
  <si>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</si>
  <si>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</si>
  <si>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</si>
  <si>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</si>
  <si>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</si>
  <si>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</si>
  <si>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</si>
  <si>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</si>
  <si>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</si>
  <si>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</si>
  <si>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</si>
  <si>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</si>
  <si>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</si>
  <si>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</si>
  <si>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</si>
  <si>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</si>
  <si>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</si>
  <si>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</si>
  <si>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</si>
  <si>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</si>
  <si>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</si>
  <si>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</si>
  <si>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</si>
  <si>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</si>
  <si>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</si>
  <si>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</si>
  <si>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</si>
  <si>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</si>
  <si>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</si>
  <si>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</si>
  <si>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</si>
  <si>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</si>
  <si>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</si>
  <si>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</si>
  <si>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</si>
  <si>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</si>
  <si>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</si>
  <si>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</si>
  <si>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</si>
  <si>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</si>
  <si>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</si>
  <si>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</si>
  <si>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</si>
  <si>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</si>
  <si>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</si>
  <si>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</si>
  <si>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</si>
  <si>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</si>
  <si>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</si>
  <si>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</si>
  <si>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</si>
  <si>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</si>
  <si>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</si>
  <si>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</si>
  <si>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</si>
  <si>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</si>
  <si>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</si>
  <si>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</si>
  <si>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</si>
  <si>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</si>
  <si>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</si>
  <si>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</si>
  <si>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</si>
  <si>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</si>
  <si>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</si>
  <si>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</si>
  <si>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</si>
  <si>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</si>
  <si>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</si>
  <si>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</si>
  <si>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</si>
  <si>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</si>
  <si>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</si>
  <si>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</si>
  <si>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</si>
  <si>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</si>
  <si>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</si>
  <si>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</si>
  <si>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</si>
  <si>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</si>
  <si>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</si>
  <si>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</si>
  <si>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</si>
  <si>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</si>
  <si>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</si>
  <si>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</si>
  <si>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</si>
  <si>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</si>
  <si>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</si>
  <si>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</si>
  <si>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</si>
  <si>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</si>
  <si>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</si>
  <si>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</si>
  <si>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</si>
  <si>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</si>
  <si>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</si>
  <si>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</si>
  <si>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</si>
  <si>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</si>
  <si>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</si>
  <si>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</si>
  <si>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</si>
  <si>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</si>
  <si>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</si>
  <si>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</si>
  <si>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</si>
  <si>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</si>
  <si>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</si>
  <si>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</si>
  <si>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</si>
  <si>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</si>
  <si>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</si>
  <si>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</si>
  <si>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</si>
  <si>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</si>
  <si>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</si>
  <si>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</si>
  <si>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</si>
  <si>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</si>
  <si>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</si>
  <si>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</si>
  <si>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</si>
  <si>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</si>
  <si>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</si>
  <si>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</si>
  <si>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</si>
  <si>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</si>
  <si>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</si>
  <si>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</si>
  <si>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</si>
  <si>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</si>
  <si>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</si>
  <si>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</si>
  <si>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</si>
  <si>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</si>
  <si>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</si>
  <si>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</si>
  <si>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</si>
  <si>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</si>
  <si>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</si>
  <si>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</si>
  <si>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</si>
  <si>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</si>
  <si>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</si>
  <si>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</si>
  <si>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</si>
  <si>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</si>
  <si>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</si>
  <si>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</si>
  <si>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</si>
  <si>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</si>
  <si>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</si>
  <si>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</si>
  <si>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</si>
  <si>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</si>
  <si>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</si>
  <si>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</si>
  <si>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</si>
  <si>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</si>
  <si>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</si>
  <si>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</si>
  <si>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</si>
  <si>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</si>
  <si>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</si>
  <si>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</si>
  <si>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</si>
  <si>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</si>
  <si>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</si>
  <si>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</si>
  <si>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</si>
  <si>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</si>
  <si>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</si>
  <si>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</si>
  <si>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</si>
  <si>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</si>
  <si>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</si>
  <si>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</si>
  <si>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</si>
  <si>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</si>
  <si>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</si>
  <si>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</si>
  <si>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</si>
  <si>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</si>
  <si>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</si>
  <si>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</si>
  <si>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</si>
  <si>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</si>
  <si>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</si>
  <si>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</si>
  <si>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</si>
  <si>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</si>
  <si>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</si>
  <si>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</si>
  <si>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</si>
  <si>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</si>
  <si>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</si>
  <si>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</si>
  <si>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</si>
  <si>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</si>
  <si>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</si>
  <si>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</si>
  <si>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</si>
  <si>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</si>
  <si>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</si>
  <si>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</si>
  <si>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</si>
  <si>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</si>
  <si>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</si>
  <si>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</si>
  <si>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</si>
  <si>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</si>
  <si>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</si>
  <si>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</si>
  <si>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</si>
  <si>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</si>
  <si>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</si>
  <si>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</si>
  <si>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</si>
  <si>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</si>
  <si>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</si>
  <si>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</si>
  <si>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</si>
  <si>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</si>
  <si>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</si>
  <si>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</si>
  <si>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</si>
  <si>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</si>
  <si>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</si>
  <si>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</si>
  <si>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</si>
  <si>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</si>
  <si>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</si>
  <si>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</si>
  <si>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</si>
  <si>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</si>
  <si>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</si>
  <si>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</si>
  <si>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</si>
  <si>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</si>
  <si>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</si>
  <si>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</si>
  <si>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</si>
  <si>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</si>
  <si>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</si>
  <si>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</si>
  <si>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</si>
  <si>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</si>
  <si>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</si>
  <si>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</si>
  <si>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</si>
  <si>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</si>
  <si>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</si>
  <si>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</si>
  <si>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</si>
  <si>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</si>
  <si>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</si>
  <si>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</si>
  <si>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</si>
  <si>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</si>
  <si>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</si>
  <si>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</si>
  <si>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</si>
  <si>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</si>
  <si>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</si>
  <si>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</si>
  <si>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</si>
  <si>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</si>
  <si>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</si>
  <si>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</si>
  <si>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</si>
  <si>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</si>
  <si>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</si>
  <si>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</si>
  <si>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</si>
  <si>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</si>
  <si>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</si>
  <si>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</si>
  <si>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</si>
  <si>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</si>
  <si>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M_00.0020.000020</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</si>
  <si>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</si>
  <si>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</si>
  <si>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</si>
  <si>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</si>
  <si>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</si>
  <si>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</si>
  <si>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</si>
  <si>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</si>
  <si>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</si>
  <si>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</si>
  <si>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</si>
  <si>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</si>
  <si>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</si>
  <si>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</si>
  <si>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</si>
  <si>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</si>
  <si>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</si>
  <si>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</si>
  <si>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</si>
  <si>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</si>
  <si>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</si>
  <si>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</si>
  <si>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</si>
  <si>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</si>
  <si>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</si>
  <si>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</si>
  <si>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</si>
  <si>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</si>
  <si>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</si>
  <si>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</si>
  <si>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</si>
  <si>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</si>
  <si>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</si>
  <si>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</si>
  <si>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</si>
  <si>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</si>
  <si>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</si>
  <si>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</si>
  <si>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</si>
  <si>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</si>
  <si>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</si>
  <si>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</si>
  <si>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</si>
  <si>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</si>
  <si>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</si>
  <si>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</si>
  <si>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</si>
  <si>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</si>
  <si>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</si>
  <si>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</si>
  <si>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</si>
  <si>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</si>
  <si>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</si>
  <si>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</si>
  <si>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</si>
  <si>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</si>
  <si>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</si>
  <si>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</si>
  <si>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</si>
  <si>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</si>
  <si>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перераспределением объемов оборудования в соответствии с планами реализации проекта на основании фактически заключенных договоров в условиях координации титулов по взаимосвязанным инвестиционным проектам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</si>
  <si>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ПИР</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</si>
  <si>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</si>
  <si>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</si>
  <si>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</si>
  <si>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</si>
  <si>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
ОБЩЕСТВО С ОГРАНИЧЕННОЙ ОТВЕТСТВЕННОСТЬЮ ПРОЕКТНЫЙ ЦЕНТР "ЭКРА";
ОБЩЕСТВО С ОГРАНИЧЕННОЙ ОТВЕТСТВЕННОСТЬЮ "ИНСТИТУТ ПРОЕКТИРОВАНИЯ ЭНЕРГЕТИЧЕСКИХ СИСТЕМ";
ОБЩЕСТВО С ОГРАНИЧЕННОЙ ОТВЕТСТВЕННОСТЬЮ "ТЕХНОЛОГИИ ЭФФЕКТИВНОГО ПРОЕКТИРОВАНИЯ";
ОБЩЕСТВО С ОГРАНИЧЕННОЙ ОТВЕТСТВЕННОСТЬЮ "ПРОЕКТНЫЙ ЦЕНТР СИБИРИ";
ОБЩЕСТВО С ОГРАНИЧЕННОЙ ОТВЕТСТВЕННОСТЬЮ "СЕВЕРЭНЕРГОПРОЕКТ"
</t>
  </si>
  <si>
    <t xml:space="preserve">12069,5901;
12069,5901;
120695,901;
11700,000;
9000,000;
120695,901
</t>
  </si>
  <si>
    <t>-</t>
  </si>
  <si>
    <t>7066,5203;
7126,86825;
8500,000</t>
  </si>
  <si>
    <t>ОБЩЕСТВО С ОГРАНИЧЕННОЙ ОТВЕТСТВЕННОСТЬЮ "ВЕЛЛЭНЕРДЖИ"</t>
  </si>
  <si>
    <t>да</t>
  </si>
  <si>
    <t>https://www.roseltorg.ru/</t>
  </si>
  <si>
    <t>ИП</t>
  </si>
  <si>
    <t>ИП-23-00125 от 18.04.2023</t>
  </si>
  <si>
    <t>ПИР, СМР, ПНР</t>
  </si>
  <si>
    <t>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t>
  </si>
  <si>
    <t>Конкурс в электронной форме</t>
  </si>
  <si>
    <t>СМР</t>
  </si>
  <si>
    <t>ИП-23-00128 от 25.04.2023</t>
  </si>
  <si>
    <t>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t>
  </si>
  <si>
    <t>ОБЩЕСТВО С ОГРАНИЧЕННОЙ ОТВЕТСТВЕННОСТЬЮ "ВЕЛЛЭНЕРДЖИ";
ОБЩЕСТВО С ОГРАНИЧЕННОЙ ОТВЕТСТВЕННОСТЬЮ "СОЮЗЭНЕРГОПРОЕКТ";
ОБЩЕСТВО С ОГРАНИЧЕННОЙ ОТВЕТСТВЕННОСТЬЮ "САМАРСКИЙ ЭЛЕКТРОПРОЕКТ";
ОБЩЕСТВО С ОГРАНИЧЕННОЙ ОТВЕТСТВЕННОСТЬЮ "ИНЖИНИРИНГ ЭНЕРГОСИСТЕМ";
ОБЩЕСТВО С ОГРАНИЧЕННОЙ ОТВЕТСТВЕННОСТЬЮ "ПРОЕКТНО-ИЗЫСКАТЕЛЬСКАЯ КОМПАНИЯ "РЕЗОНАНС";
ОБЩЕСТВО С ОГРАНИЧЕННОЙ ОТВЕТСТВЕННОСТЬЮ "ТОРГОВЫЙ ДОМ "КЭПС"</t>
  </si>
  <si>
    <t>8888,11846; 8888,11846; 
7416,000; 8 500,000;8400,000; 8 580,000</t>
  </si>
  <si>
    <t>6322,000;
6277,55941;
6500,23764;
7050,000</t>
  </si>
  <si>
    <t>https://com.roseltorg.ru/</t>
  </si>
  <si>
    <t>ИП-23-00093 от 04.04.2023</t>
  </si>
  <si>
    <t>ТМЦ</t>
  </si>
  <si>
    <t>Поставка выключателей баковых элегазовых ПС 220 кВ Чулымская</t>
  </si>
  <si>
    <t>Аукцион в электронной форме, участниками которого могут быть только субъекты малого и среднего предпринимательства</t>
  </si>
  <si>
    <t>ООО "ИЦС"
Наименвоание второго участника не видим</t>
  </si>
  <si>
    <t>ООО "ИЦС"</t>
  </si>
  <si>
    <t>ПД</t>
  </si>
  <si>
    <t>ПД-23-00242 от 21.07.2023</t>
  </si>
  <si>
    <t>Поставка аппаратуры передачи сигналов</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</si>
  <si>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</si>
  <si>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</si>
  <si>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 xml:space="preserve"> ООО "ЭКРА-СИБИРЬ"</t>
  </si>
  <si>
    <t>ПД-24-00092 от 02.05.2024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</si>
  <si>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t>
  </si>
  <si>
    <t>АКЦИОНЕРНОЕ ОБЩЕСТВО "РЕМОНТЭНЕРГОМОНТАЖ И СЕРВИС"
ОБЩЕСТВО С ОГРАНИЧЕННОЙ ОТВЕТСТВЕННОСТЬЮ "АМПЕР. КОМ"</t>
  </si>
  <si>
    <t>13701,77333
13650</t>
  </si>
  <si>
    <t>ОБЩЕСТВО С ОГРАНИЧЕННОЙ ОТВЕТСТВЕННОСТЬЮ "АМПЕР. КОМ"</t>
  </si>
  <si>
    <t>АКЦИОНЕРНОЕ ОБЩЕСТВО "РЕМОНТЭНЕРГОМОНТАЖ И СЕРВИС"</t>
  </si>
  <si>
    <t>32413498155</t>
  </si>
  <si>
    <t>ИП-24-00136 от 25.06.2024</t>
  </si>
  <si>
    <t>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t>
  </si>
  <si>
    <t xml:space="preserve"> ОБЩЕСТВО С ОГРАНИЧЕННОЙ ОТВЕТСТВЕННОСТЬЮ "КОМПАНИЯ ИНЖИНИРИНГ ЭНЕРГОСИСТЕМ"
АКЦИОНЕРНОЕ ОБЩЕСТВО "РЕМОНТЭНЕРГОМОНТАЖ И СЕРВИС"
ОБЩЕСТВО С ОГРАНИЧЕННОЙ ОТВЕТСТВЕННОСТЬЮ "АМПЕР. КОМ"</t>
  </si>
  <si>
    <t>17350
17370,30982
17283,45827</t>
  </si>
  <si>
    <t>14576,75
17196,60672
14500</t>
  </si>
  <si>
    <t xml:space="preserve"> ОБЩЕСТВО С ОГРАНИЧЕННОЙ ОТВЕТСТВЕННОСТЬЮ "КОМПАНИЯ ИНЖИНИРИНГ ЭНЕРГОСИСТЕМ"</t>
  </si>
  <si>
    <t>на согласовании</t>
  </si>
  <si>
    <t>Поставка шкафов защит</t>
  </si>
  <si>
    <t>ОБЩЕСТВО С ОГРАНИЧЕННОЙ ОТВЕТСТВЕННОСТЬЮ "ВЕЛЛЭНЕРДЖИ"; 
ОБЩЕСТВО С ОГРАНИЧЕННОЙ ОТВЕТСТВЕННОСТЬЮ "ЭКРА-СИБИРЬ"; 
Индивидуальный предприниматель КИРИЛЛОВА ЕВГЕНИЯ АЛЕКСАНДРОВНА</t>
  </si>
  <si>
    <t>18195;
18195</t>
  </si>
  <si>
    <t>Индивидуальный предприниматель КИРИЛЛОВА ЕВГЕНИЯ АЛЕКСАНДРОВНА</t>
  </si>
  <si>
    <t>17831,1;
17922,075</t>
  </si>
  <si>
    <t>ПД-23-00317 от 25.10.2023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</si>
  <si>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</si>
  <si>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</si>
  <si>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</si>
  <si>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</si>
  <si>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</si>
  <si>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</si>
  <si>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</si>
  <si>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</si>
  <si>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</si>
  <si>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</si>
  <si>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</si>
  <si>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</si>
  <si>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81 288,41 тыс. руб. с НДС на 1 выключатель 220 кВ
440 457,91 тыс. руб. с НДС на здание ОПУ/ЗРУ</t>
  </si>
  <si>
    <t>1 этап - строительство здания ОПУ
2 этап - замена ячейки выключателя 220 кВ - 2 шт. - выключатели 6 кВ - 28
3 этап - замена ячейки выключателя 220 кВ - 2 шт.</t>
  </si>
  <si>
    <t>1.Объект включён в инвестиционную программу на основании оценки технического состояния, подтвержденный индексом технического состояния (ИТС)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92%. Общий процент износа ячеек КРУН 6кВ 70 %.
3. Заключение акта технического освидетельствования № ПС-5/09-2020 от 30.06.2020.</t>
  </si>
  <si>
    <t>1С, 2П</t>
  </si>
  <si>
    <t>Сибирский Федеральный округ, Новосибирская область, г. Чулым</t>
  </si>
  <si>
    <t>У-220-1000-10</t>
  </si>
  <si>
    <t>Элегазовый выключатель</t>
  </si>
  <si>
    <t>В-241</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</si>
  <si>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</si>
  <si>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</si>
  <si>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У-220-2000-25</t>
  </si>
  <si>
    <t>В-242</t>
  </si>
  <si>
    <t xml:space="preserve">МКП-220-7 </t>
  </si>
  <si>
    <t>В-243</t>
  </si>
  <si>
    <t>У-220-2000-10</t>
  </si>
  <si>
    <t>В-244</t>
  </si>
  <si>
    <t>КРУН–6 кВ (28 шт.)</t>
  </si>
  <si>
    <t xml:space="preserve">Ячейки типа К-6 </t>
  </si>
  <si>
    <t/>
  </si>
  <si>
    <t>1;4</t>
  </si>
  <si>
    <t>3;4</t>
  </si>
  <si>
    <t>1;2;3;4</t>
  </si>
  <si>
    <t>3;1;4</t>
  </si>
  <si>
    <t xml:space="preserve">Поставка шкафов РЗА и управления в ОПУ-ЗРУ																										</t>
  </si>
  <si>
    <t xml:space="preserve">ОБЩЕСТВО С ОГРАНИЧЕННОЙ ОТВЕТСТВЕННОСТЬЮ "ВЕЛЛЭНЕРДЖИ"; 
ОБЩЕСТВО С ОГРАНИЧЕННОЙ ОТВЕТСТВЕННОСТЬЮ "ЭКРА-СИБИРЬ"; </t>
  </si>
  <si>
    <t>25914,8;
25914,8</t>
  </si>
  <si>
    <t>25700;
25914,8</t>
  </si>
  <si>
    <t>Поставка щита собственных нужд</t>
  </si>
  <si>
    <t>Общество с ограниченной ответственностью "Группа ЭНЭЛТ ";
ОБЩЕСТВО С ОГРАНИЧЕННОЙ ОТВЕТСТВЕННОСТЬЮ "ЭКРА-СИБИРЬ";
ОБЩЕСТВО С ОГРАНИЧЕННОЙ ОТВЕТСТВЕННОСТЬЮ "А2 СИСТЕМ";
3872242557</t>
  </si>
  <si>
    <t>9100;
9090;
9100</t>
  </si>
  <si>
    <t>Общество с ограниченной ответственностью "Группа ЭНЭЛТ"</t>
  </si>
  <si>
    <t>Поставка трансформаторов собственных нужд</t>
  </si>
  <si>
    <t xml:space="preserve">
ОБЩЕСТВО С ОГРАНИЧЕННОЙ ОТВЕТСТВЕННОСТЬЮ "ПАРТНЕР-ТТ";
ОБЩЕСТВО С ОГРАНИЧЕННОЙ ОТВЕТСТВЕННОСТЬЮ "РЕГИОНИНЖИНИРИНГ";
ОБЩЕСТВО С ОГРАНИЧЕННОЙ ОТВЕТСТВЕННОСТЬЮ ТК "ЭНЕРГООБОРУДОВАНИЕ"</t>
  </si>
  <si>
    <t>2607,4;
2648;
2649</t>
  </si>
  <si>
    <t>ОБЩЕСТВО С ОГРАНИЧЕННОЙ ОТВЕТСТВЕННОСТЬЮ "РЕГИОНИНЖИНИРИНГ"</t>
  </si>
  <si>
    <t>2607,4;
2607,0</t>
  </si>
  <si>
    <t>ОБЩЕСТВО С ОГРАНИЧЕННОЙ ОТВЕТСТВЕННОСТЬЮ "ПАРТНЕР-ТТ"</t>
  </si>
  <si>
    <t xml:space="preserve">Поставка токопровода комплектного с литой изоляцией		</t>
  </si>
  <si>
    <t>Поставка аккумуляторной батареи и ЗВУ для ПС 220 кВ Чулымская</t>
  </si>
  <si>
    <t>ОБЩЕСТВО С ОГРАНИЧЕННОЙ ОТВЕТСТВЕННОСТЬЮ "СИСТЕМЫ ПОСТОЯННОГО ТОКА";
ОБЩЕСТВО С ОГРАНИЧЕННОЙ ОТВЕТСТВЕННОСТЬЮ "ДЖЕНЕРАЛ ПАУЭР";
ОБЩЕСТВО С ОГРАНИЧЕННОЙ ОТВЕТСТВЕННОСТЬЮ "ВОЛЬТАГ";
ОБЩЕСТВО С ОГРАНИЧЕННОЙ ОТВЕТСТВЕННОСТЬЮ "Группа ЭНЭЛТ";
2965321997</t>
  </si>
  <si>
    <t>27 500, 000;
27680;
27580;
27680</t>
  </si>
  <si>
    <t>19444;
23500;
24815;
25001,518</t>
  </si>
  <si>
    <t>ОБЩЕСТВО С ОГРАНИЧЕННОЙ ОТВЕТСТВЕННОСТЬЮ "СИСТЕМЫ ПОСТОЯННОГО ТОКА"</t>
  </si>
  <si>
    <t>ПД-24-00261 от 28.10.2024</t>
  </si>
  <si>
    <t>ПД-24-00269 от 05.11.2024</t>
  </si>
  <si>
    <t>ПД-24-00257 от 28.10.2024</t>
  </si>
  <si>
    <t>ПД-24-00276 от 31.10.2024</t>
  </si>
  <si>
    <t>ПД-24-00259 ОТ 28.10.2024</t>
  </si>
  <si>
    <t>КВЛ по состоянию на 01.10.2024, тыс. руб. без НДС (без ФОТ)</t>
  </si>
  <si>
    <t>ФИН по состоянию на 01.10.2024, тыс. руб. с НДС (без взаимозачетов)</t>
  </si>
  <si>
    <t>100%</t>
  </si>
  <si>
    <t>90%</t>
  </si>
  <si>
    <t>40%</t>
  </si>
  <si>
    <t>15%</t>
  </si>
  <si>
    <t>План по корректировке ИПР уточнен при утверждении ИПР в 2024 году (Приказ от №181-НПА 09.08.2024)</t>
  </si>
  <si>
    <t>По договору №ИП-23-00093 на выполнение ПИР 1,2 ПК здания ОПУ/ЗРУ в связи с неудовлетворительной работой подрядчика</t>
  </si>
  <si>
    <t>Смещение срока на 30.07.2024 по причине невозможности выполнения работ в 2023 году в связи с длительным завершением работ по взаимосвязанному инвестиционному проекту, реализуемому АО "РЭМиС" на ПС 220 кВ Чулымская.</t>
  </si>
  <si>
    <t>Смещение срока реализации проекта в связи со снижением источника финансирования капитальных вложений по причине корректировки объемом ввода в эксплуатацию в 2024 году на 481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</si>
</sst>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565</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566</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569</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570</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570</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570</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570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570</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571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570</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570</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570</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572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570</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t="s">
        <v>599</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573</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307.11197076242655</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414.6847815655351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M_00.0020.000020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777.06937244695598</v>
      </c>
      <c r="D24" s="279">
        <f t="shared" si="0"/>
        <v>765.6115704805527</v>
      </c>
      <c r="E24" s="284">
        <f t="shared" si="0"/>
        <v>625.3389164938676</v>
      </c>
      <c r="F24" s="284">
        <f t="shared" si="0"/>
        <v>233.71455258343957</v>
      </c>
      <c r="G24" s="267">
        <f t="shared" si="0"/>
        <v>391.62436391042809</v>
      </c>
      <c r="H24" s="267">
        <f t="shared" si="0"/>
        <v>269.01217112113648</v>
      </c>
      <c r="I24" s="267" t="s">
        <v>425</v>
      </c>
      <c r="J24" s="279">
        <f t="shared" ref="J24:N24" si="1">J25+J26+J27+J32+J33</f>
        <v>136.58200845348915</v>
      </c>
      <c r="K24" s="279" t="s">
        <v>425</v>
      </c>
      <c r="L24" s="267">
        <f>L25+L26+L27+L32+L33</f>
        <v>38.099799641290112</v>
      </c>
      <c r="M24" s="267" t="s">
        <v>425</v>
      </c>
      <c r="N24" s="279">
        <f t="shared" si="1"/>
        <v>97.132544129950332</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307.11197076242655</v>
      </c>
      <c r="AC24" s="284">
        <f>AC25+AC26+AC27+AC32+AC33</f>
        <v>233.71455258343951</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652.64986914738199</v>
      </c>
      <c r="D27" s="279">
        <v>639.64664216117001</v>
      </c>
      <c r="E27" s="285">
        <f>J27+N27+G27+P27+T27+X27</f>
        <v>529.32502076847391</v>
      </c>
      <c r="F27" s="285">
        <f t="shared" si="8"/>
        <v>195.99545416104723</v>
      </c>
      <c r="G27" s="267">
        <v>333.32956660742667</v>
      </c>
      <c r="H27" s="267">
        <f>SUM(H28:H31)</f>
        <v>226.49565328874829</v>
      </c>
      <c r="I27" s="267" t="s">
        <v>425</v>
      </c>
      <c r="J27" s="279">
        <f t="shared" ref="J27" si="9">SUM(J28:J31)</f>
        <v>114.44492138964328</v>
      </c>
      <c r="K27" s="279" t="s">
        <v>425</v>
      </c>
      <c r="L27" s="267">
        <f>SUM(L28:L31)</f>
        <v>32.900052271445567</v>
      </c>
      <c r="M27" s="267" t="s">
        <v>425</v>
      </c>
      <c r="N27" s="279">
        <f t="shared" ref="N27" si="10">SUM(N28:N31)</f>
        <v>81.55053277140388</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259.39570556019385</v>
      </c>
      <c r="AC27" s="284">
        <f>J27+N27+R27+V27+Z27</f>
        <v>195.99545416104718</v>
      </c>
    </row>
    <row r="28" spans="1:32" x14ac:dyDescent="0.25">
      <c r="A28" s="58" t="s">
        <v>426</v>
      </c>
      <c r="B28" s="42" t="s">
        <v>168</v>
      </c>
      <c r="C28" s="268" t="s">
        <v>425</v>
      </c>
      <c r="D28" s="281" t="s">
        <v>425</v>
      </c>
      <c r="E28" s="281" t="s">
        <v>425</v>
      </c>
      <c r="F28" s="281" t="s">
        <v>425</v>
      </c>
      <c r="G28" s="266" t="s">
        <v>425</v>
      </c>
      <c r="H28" s="266">
        <v>0</v>
      </c>
      <c r="I28" s="268" t="s">
        <v>595</v>
      </c>
      <c r="J28" s="280">
        <v>0</v>
      </c>
      <c r="K28" s="281" t="s">
        <v>595</v>
      </c>
      <c r="L28" s="266">
        <v>0</v>
      </c>
      <c r="M28" s="268" t="s">
        <v>595</v>
      </c>
      <c r="N28" s="280">
        <v>0</v>
      </c>
      <c r="O28" s="281" t="s">
        <v>595</v>
      </c>
      <c r="P28" s="154">
        <v>0</v>
      </c>
      <c r="Q28" s="154" t="s">
        <v>595</v>
      </c>
      <c r="R28" s="280">
        <v>0</v>
      </c>
      <c r="S28" s="281">
        <v>0</v>
      </c>
      <c r="T28" s="154">
        <v>0</v>
      </c>
      <c r="U28" s="154" t="s">
        <v>595</v>
      </c>
      <c r="V28" s="280">
        <v>0</v>
      </c>
      <c r="W28" s="281">
        <v>0</v>
      </c>
      <c r="X28" s="154">
        <v>0</v>
      </c>
      <c r="Y28" s="154" t="s">
        <v>595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43.277726828460722</v>
      </c>
      <c r="I29" s="268" t="s">
        <v>596</v>
      </c>
      <c r="J29" s="280">
        <v>42.914599204919398</v>
      </c>
      <c r="K29" s="281" t="s">
        <v>596</v>
      </c>
      <c r="L29" s="266">
        <v>14.687037957692374</v>
      </c>
      <c r="M29" s="268" t="s">
        <v>63</v>
      </c>
      <c r="N29" s="280">
        <v>28.834274898473275</v>
      </c>
      <c r="O29" s="281" t="s">
        <v>597</v>
      </c>
      <c r="P29" s="154">
        <v>0</v>
      </c>
      <c r="Q29" s="288" t="s">
        <v>595</v>
      </c>
      <c r="R29" s="280">
        <v>0</v>
      </c>
      <c r="S29" s="281">
        <v>0</v>
      </c>
      <c r="T29" s="154">
        <v>0</v>
      </c>
      <c r="U29" s="154" t="s">
        <v>595</v>
      </c>
      <c r="V29" s="280">
        <v>0</v>
      </c>
      <c r="W29" s="281">
        <v>0</v>
      </c>
      <c r="X29" s="154">
        <v>0</v>
      </c>
      <c r="Y29" s="154" t="s">
        <v>595</v>
      </c>
      <c r="Z29" s="280">
        <v>0</v>
      </c>
      <c r="AA29" s="281">
        <v>0</v>
      </c>
      <c r="AB29" s="267">
        <f t="shared" si="17"/>
        <v>57.964764786153097</v>
      </c>
      <c r="AC29" s="284">
        <f>J29+N29+R29+V29+Z29</f>
        <v>71.748874103392666</v>
      </c>
      <c r="AD29" s="213"/>
      <c r="AE29" s="269"/>
    </row>
    <row r="30" spans="1:32" x14ac:dyDescent="0.25">
      <c r="A30" s="58" t="s">
        <v>428</v>
      </c>
      <c r="B30" s="42" t="s">
        <v>164</v>
      </c>
      <c r="C30" s="268" t="s">
        <v>425</v>
      </c>
      <c r="D30" s="281" t="s">
        <v>425</v>
      </c>
      <c r="E30" s="281" t="s">
        <v>425</v>
      </c>
      <c r="F30" s="281" t="s">
        <v>425</v>
      </c>
      <c r="G30" s="266" t="s">
        <v>425</v>
      </c>
      <c r="H30" s="266">
        <v>133.31240909913586</v>
      </c>
      <c r="I30" s="268" t="s">
        <v>59</v>
      </c>
      <c r="J30" s="280">
        <v>33.66156116388823</v>
      </c>
      <c r="K30" s="281" t="s">
        <v>596</v>
      </c>
      <c r="L30" s="266">
        <v>11.915087663551502</v>
      </c>
      <c r="M30" s="268" t="s">
        <v>63</v>
      </c>
      <c r="N30" s="280">
        <v>23.328330135068903</v>
      </c>
      <c r="O30" s="281" t="s">
        <v>597</v>
      </c>
      <c r="P30" s="154">
        <v>0</v>
      </c>
      <c r="Q30" s="154" t="s">
        <v>595</v>
      </c>
      <c r="R30" s="280">
        <v>0</v>
      </c>
      <c r="S30" s="281">
        <v>0</v>
      </c>
      <c r="T30" s="154">
        <v>0</v>
      </c>
      <c r="U30" s="154" t="s">
        <v>595</v>
      </c>
      <c r="V30" s="280">
        <v>0</v>
      </c>
      <c r="W30" s="281">
        <v>0</v>
      </c>
      <c r="X30" s="154">
        <v>0</v>
      </c>
      <c r="Y30" s="154" t="s">
        <v>595</v>
      </c>
      <c r="Z30" s="280">
        <v>0</v>
      </c>
      <c r="AA30" s="281">
        <v>0</v>
      </c>
      <c r="AB30" s="267">
        <f t="shared" si="17"/>
        <v>145.22749676268737</v>
      </c>
      <c r="AC30" s="284">
        <f>J30+N30+R30+V30+Z30</f>
        <v>56.989891298957133</v>
      </c>
      <c r="AD30" s="213"/>
      <c r="AE30" s="269"/>
    </row>
    <row r="31" spans="1:32" x14ac:dyDescent="0.25">
      <c r="A31" s="58" t="s">
        <v>429</v>
      </c>
      <c r="B31" s="42" t="s">
        <v>162</v>
      </c>
      <c r="C31" s="268" t="s">
        <v>425</v>
      </c>
      <c r="D31" s="281" t="s">
        <v>425</v>
      </c>
      <c r="E31" s="281" t="s">
        <v>425</v>
      </c>
      <c r="F31" s="281" t="s">
        <v>425</v>
      </c>
      <c r="G31" s="266" t="s">
        <v>425</v>
      </c>
      <c r="H31" s="266">
        <v>49.905517361151716</v>
      </c>
      <c r="I31" s="268" t="s">
        <v>598</v>
      </c>
      <c r="J31" s="280">
        <v>37.868761020835663</v>
      </c>
      <c r="K31" s="281" t="s">
        <v>598</v>
      </c>
      <c r="L31" s="266">
        <v>6.2979266502016937</v>
      </c>
      <c r="M31" s="268" t="s">
        <v>63</v>
      </c>
      <c r="N31" s="280">
        <v>29.387927737861702</v>
      </c>
      <c r="O31" s="281" t="s">
        <v>598</v>
      </c>
      <c r="P31" s="154">
        <v>0</v>
      </c>
      <c r="Q31" s="154" t="s">
        <v>595</v>
      </c>
      <c r="R31" s="280">
        <v>0</v>
      </c>
      <c r="S31" s="281">
        <v>0</v>
      </c>
      <c r="T31" s="154">
        <v>0</v>
      </c>
      <c r="U31" s="154" t="s">
        <v>595</v>
      </c>
      <c r="V31" s="280">
        <v>0</v>
      </c>
      <c r="W31" s="281">
        <v>0</v>
      </c>
      <c r="X31" s="154">
        <v>0</v>
      </c>
      <c r="Y31" s="154" t="s">
        <v>595</v>
      </c>
      <c r="Z31" s="280">
        <v>0</v>
      </c>
      <c r="AA31" s="281">
        <v>0</v>
      </c>
      <c r="AB31" s="267">
        <f t="shared" si="17"/>
        <v>56.203444011353412</v>
      </c>
      <c r="AC31" s="284">
        <f>J31+N31+R31+V31+Z31</f>
        <v>67.256688758697365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124.41950329957402</v>
      </c>
      <c r="D33" s="280">
        <v>125.96492831938271</v>
      </c>
      <c r="E33" s="285">
        <f>J33+N33+G33+P33+T33+X33</f>
        <v>96.013895725393724</v>
      </c>
      <c r="F33" s="285">
        <f t="shared" ref="F33" si="18">E33-G33</f>
        <v>37.719098422392328</v>
      </c>
      <c r="G33" s="266">
        <v>58.294797303001396</v>
      </c>
      <c r="H33" s="266">
        <v>42.516517832388168</v>
      </c>
      <c r="I33" s="266" t="str">
        <f>I31</f>
        <v>1;2;3;4</v>
      </c>
      <c r="J33" s="280">
        <v>22.137087063845872</v>
      </c>
      <c r="K33" s="280" t="str">
        <f>K31</f>
        <v>1;2;3;4</v>
      </c>
      <c r="L33" s="266">
        <v>5.1997473698445464</v>
      </c>
      <c r="M33" s="266" t="str">
        <f>M31</f>
        <v>1</v>
      </c>
      <c r="N33" s="280">
        <v>15.582011358546456</v>
      </c>
      <c r="O33" s="280">
        <v>0</v>
      </c>
      <c r="P33" s="154">
        <v>0</v>
      </c>
      <c r="Q33" s="154">
        <v>0</v>
      </c>
      <c r="R33" s="280">
        <v>0</v>
      </c>
      <c r="S33" s="280">
        <v>0</v>
      </c>
      <c r="T33" s="154">
        <v>0</v>
      </c>
      <c r="U33" s="154">
        <v>0</v>
      </c>
      <c r="V33" s="280">
        <v>0</v>
      </c>
      <c r="W33" s="280">
        <v>0</v>
      </c>
      <c r="X33" s="154">
        <v>0</v>
      </c>
      <c r="Y33" s="154">
        <v>0</v>
      </c>
      <c r="Z33" s="280">
        <v>0</v>
      </c>
      <c r="AA33" s="280">
        <v>0</v>
      </c>
      <c r="AB33" s="266">
        <f>X33+L33+H33+P33+T33</f>
        <v>47.716265202232712</v>
      </c>
      <c r="AC33" s="280">
        <f>Z33+N33+J33+R33+V33</f>
        <v>37.719098422392328</v>
      </c>
    </row>
    <row r="34" spans="1:30" ht="47.25" x14ac:dyDescent="0.25">
      <c r="A34" s="60" t="s">
        <v>61</v>
      </c>
      <c r="B34" s="59" t="s">
        <v>170</v>
      </c>
      <c r="C34" s="267">
        <f>SUM(C35:C38)</f>
        <v>650.34129620238207</v>
      </c>
      <c r="D34" s="279">
        <f t="shared" ref="D34:G34" si="19">SUM(D35:D38)</f>
        <v>640.94922836107537</v>
      </c>
      <c r="E34" s="285">
        <f t="shared" ref="E34" si="20">J34+N34+G34+P34+T34+X34</f>
        <v>510.84157286107529</v>
      </c>
      <c r="F34" s="279">
        <f t="shared" si="19"/>
        <v>182.85649487174464</v>
      </c>
      <c r="G34" s="267">
        <f t="shared" si="19"/>
        <v>327.98507798933065</v>
      </c>
      <c r="H34" s="267">
        <f>SUM(H35:H38)</f>
        <v>414.62957901331231</v>
      </c>
      <c r="I34" s="267" t="s">
        <v>425</v>
      </c>
      <c r="J34" s="279">
        <f t="shared" ref="J34" si="21">SUM(J35:J38)</f>
        <v>111.38989851561081</v>
      </c>
      <c r="K34" s="279" t="s">
        <v>425</v>
      </c>
      <c r="L34" s="267">
        <f t="shared" ref="L34" si="22">SUM(L35:L38)</f>
        <v>5.5202552222779873E-2</v>
      </c>
      <c r="M34" s="267" t="s">
        <v>425</v>
      </c>
      <c r="N34" s="279">
        <f t="shared" ref="N34:P34" si="23">SUM(N35:N38)</f>
        <v>71.466596356133834</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414.6847815655351</v>
      </c>
      <c r="AC34" s="284">
        <f>J34+N34+R34+V34+Z34</f>
        <v>182.85649487174464</v>
      </c>
      <c r="AD34" s="213"/>
    </row>
    <row r="35" spans="1:30" x14ac:dyDescent="0.25">
      <c r="A35" s="60" t="s">
        <v>169</v>
      </c>
      <c r="B35" s="42" t="s">
        <v>168</v>
      </c>
      <c r="C35" s="266">
        <v>17.942287711457205</v>
      </c>
      <c r="D35" s="280">
        <v>17.373023299999993</v>
      </c>
      <c r="E35" s="285">
        <f>J35+N35+G35+P35+T35+X35</f>
        <v>13.237570639999994</v>
      </c>
      <c r="F35" s="285">
        <f>E35-G35</f>
        <v>0</v>
      </c>
      <c r="G35" s="266">
        <v>13.237570639999994</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85.510884426294467</v>
      </c>
      <c r="D36" s="280">
        <v>91.040239341560479</v>
      </c>
      <c r="E36" s="285">
        <f>J36+N36+G36+P36+T36+X36</f>
        <v>91.040239341560465</v>
      </c>
      <c r="F36" s="285">
        <f t="shared" ref="F36:F37" si="30">E36-G36</f>
        <v>64.045626776043591</v>
      </c>
      <c r="G36" s="266">
        <v>26.994612565516871</v>
      </c>
      <c r="H36" s="266">
        <v>39.995418719566537</v>
      </c>
      <c r="I36" s="266">
        <v>0</v>
      </c>
      <c r="J36" s="280">
        <v>39.606643112877492</v>
      </c>
      <c r="K36" s="281" t="s">
        <v>59</v>
      </c>
      <c r="L36" s="266">
        <v>0</v>
      </c>
      <c r="M36" s="266" t="s">
        <v>59</v>
      </c>
      <c r="N36" s="280">
        <v>24.438983663166102</v>
      </c>
      <c r="O36" s="281" t="s">
        <v>597</v>
      </c>
      <c r="P36" s="154">
        <v>0</v>
      </c>
      <c r="Q36" s="155">
        <v>0</v>
      </c>
      <c r="R36" s="280">
        <v>0</v>
      </c>
      <c r="S36" s="281">
        <v>0</v>
      </c>
      <c r="T36" s="154">
        <v>0</v>
      </c>
      <c r="U36" s="155">
        <v>0</v>
      </c>
      <c r="V36" s="280">
        <v>0</v>
      </c>
      <c r="W36" s="281">
        <v>0</v>
      </c>
      <c r="X36" s="154">
        <v>0</v>
      </c>
      <c r="Y36" s="155">
        <v>0</v>
      </c>
      <c r="Z36" s="280">
        <v>0</v>
      </c>
      <c r="AA36" s="281">
        <v>0</v>
      </c>
      <c r="AB36" s="267">
        <f t="shared" si="29"/>
        <v>39.995418719566537</v>
      </c>
      <c r="AC36" s="284">
        <f>J36+N36+R36+V36+Z36</f>
        <v>64.045626776043591</v>
      </c>
    </row>
    <row r="37" spans="1:30" x14ac:dyDescent="0.25">
      <c r="A37" s="60" t="s">
        <v>165</v>
      </c>
      <c r="B37" s="42" t="s">
        <v>164</v>
      </c>
      <c r="C37" s="266">
        <v>469.64949706673269</v>
      </c>
      <c r="D37" s="280">
        <v>451.60708550211206</v>
      </c>
      <c r="E37" s="285">
        <f>J37+N37+G37+P37+T37+X37</f>
        <v>325.98338550211201</v>
      </c>
      <c r="F37" s="285">
        <f t="shared" si="30"/>
        <v>52.500024550250487</v>
      </c>
      <c r="G37" s="266">
        <v>273.48336095186153</v>
      </c>
      <c r="H37" s="266">
        <v>323.05977634941252</v>
      </c>
      <c r="I37" s="266">
        <v>0</v>
      </c>
      <c r="J37" s="280">
        <v>29.75802123255006</v>
      </c>
      <c r="K37" s="281" t="s">
        <v>59</v>
      </c>
      <c r="L37" s="266">
        <v>0</v>
      </c>
      <c r="M37" s="266" t="s">
        <v>598</v>
      </c>
      <c r="N37" s="280">
        <v>22.742003317700409</v>
      </c>
      <c r="O37" s="281" t="s">
        <v>597</v>
      </c>
      <c r="P37" s="154">
        <v>0</v>
      </c>
      <c r="Q37" s="155">
        <v>0</v>
      </c>
      <c r="R37" s="280">
        <v>0</v>
      </c>
      <c r="S37" s="281">
        <v>0</v>
      </c>
      <c r="T37" s="154">
        <v>0</v>
      </c>
      <c r="U37" s="155">
        <v>0</v>
      </c>
      <c r="V37" s="280">
        <v>0</v>
      </c>
      <c r="W37" s="281">
        <v>0</v>
      </c>
      <c r="X37" s="154">
        <v>0</v>
      </c>
      <c r="Y37" s="155">
        <v>0</v>
      </c>
      <c r="Z37" s="280">
        <v>0</v>
      </c>
      <c r="AA37" s="281">
        <v>0</v>
      </c>
      <c r="AB37" s="267">
        <f t="shared" si="29"/>
        <v>323.05977634941252</v>
      </c>
      <c r="AC37" s="284">
        <f>J37+N37+R37+V37+Z37</f>
        <v>52.500024550250473</v>
      </c>
    </row>
    <row r="38" spans="1:30" x14ac:dyDescent="0.25">
      <c r="A38" s="60" t="s">
        <v>163</v>
      </c>
      <c r="B38" s="42" t="s">
        <v>162</v>
      </c>
      <c r="C38" s="266">
        <v>77.238626997897782</v>
      </c>
      <c r="D38" s="280">
        <v>80.928880217402778</v>
      </c>
      <c r="E38" s="285">
        <f>J38+N38+G38+P38+T38+X38</f>
        <v>80.580377377402783</v>
      </c>
      <c r="F38" s="285">
        <f>E38-G38</f>
        <v>66.310843545450567</v>
      </c>
      <c r="G38" s="266">
        <v>14.269533831952216</v>
      </c>
      <c r="H38" s="266">
        <v>51.574383944333228</v>
      </c>
      <c r="I38" s="266" t="s">
        <v>63</v>
      </c>
      <c r="J38" s="280">
        <v>42.025234170183246</v>
      </c>
      <c r="K38" s="281" t="s">
        <v>598</v>
      </c>
      <c r="L38" s="266">
        <v>5.5202552222779873E-2</v>
      </c>
      <c r="M38" s="266">
        <v>0</v>
      </c>
      <c r="N38" s="280">
        <v>24.28560937526732</v>
      </c>
      <c r="O38" s="281" t="s">
        <v>598</v>
      </c>
      <c r="P38" s="154">
        <v>0</v>
      </c>
      <c r="Q38" s="155">
        <v>0</v>
      </c>
      <c r="R38" s="280">
        <v>0</v>
      </c>
      <c r="S38" s="281">
        <v>0</v>
      </c>
      <c r="T38" s="154">
        <v>0</v>
      </c>
      <c r="U38" s="155">
        <v>0</v>
      </c>
      <c r="V38" s="280">
        <v>0</v>
      </c>
      <c r="W38" s="281">
        <v>0</v>
      </c>
      <c r="X38" s="154">
        <v>0</v>
      </c>
      <c r="Y38" s="155">
        <v>0</v>
      </c>
      <c r="Z38" s="280">
        <v>0</v>
      </c>
      <c r="AA38" s="281">
        <v>0</v>
      </c>
      <c r="AB38" s="267">
        <f t="shared" si="29"/>
        <v>51.629586496556009</v>
      </c>
      <c r="AC38" s="284">
        <f>J38+N38+R38+V38+Z38</f>
        <v>66.310843545450567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59</v>
      </c>
      <c r="D46" s="280">
        <v>59</v>
      </c>
      <c r="E46" s="285">
        <f t="shared" si="31"/>
        <v>59</v>
      </c>
      <c r="F46" s="285">
        <f>E46-G46</f>
        <v>46</v>
      </c>
      <c r="G46" s="266">
        <v>13</v>
      </c>
      <c r="H46" s="266">
        <v>29</v>
      </c>
      <c r="I46" s="268" t="s">
        <v>59</v>
      </c>
      <c r="J46" s="280">
        <v>8</v>
      </c>
      <c r="K46" s="281" t="s">
        <v>59</v>
      </c>
      <c r="L46" s="266">
        <v>9</v>
      </c>
      <c r="M46" s="268" t="s">
        <v>59</v>
      </c>
      <c r="N46" s="280">
        <v>38</v>
      </c>
      <c r="O46" s="281" t="s">
        <v>59</v>
      </c>
      <c r="P46" s="154">
        <v>0</v>
      </c>
      <c r="Q46" s="155">
        <v>0</v>
      </c>
      <c r="R46" s="280">
        <v>0</v>
      </c>
      <c r="S46" s="281">
        <v>0</v>
      </c>
      <c r="T46" s="154">
        <v>0</v>
      </c>
      <c r="U46" s="155">
        <v>0</v>
      </c>
      <c r="V46" s="280">
        <v>0</v>
      </c>
      <c r="W46" s="281">
        <v>0</v>
      </c>
      <c r="X46" s="154">
        <v>0</v>
      </c>
      <c r="Y46" s="155">
        <v>0</v>
      </c>
      <c r="Z46" s="280">
        <v>0</v>
      </c>
      <c r="AA46" s="281">
        <v>0</v>
      </c>
      <c r="AB46" s="267">
        <f t="shared" si="29"/>
        <v>38</v>
      </c>
      <c r="AC46" s="284">
        <f t="shared" si="32"/>
        <v>46</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59</v>
      </c>
      <c r="D54" s="280">
        <v>59</v>
      </c>
      <c r="E54" s="285">
        <f t="shared" si="34"/>
        <v>59</v>
      </c>
      <c r="F54" s="285">
        <f t="shared" si="33"/>
        <v>46</v>
      </c>
      <c r="G54" s="266">
        <v>13</v>
      </c>
      <c r="H54" s="266">
        <v>29</v>
      </c>
      <c r="I54" s="268" t="s">
        <v>59</v>
      </c>
      <c r="J54" s="280">
        <v>8</v>
      </c>
      <c r="K54" s="281" t="s">
        <v>59</v>
      </c>
      <c r="L54" s="266">
        <v>9</v>
      </c>
      <c r="M54" s="268" t="s">
        <v>59</v>
      </c>
      <c r="N54" s="280">
        <v>38</v>
      </c>
      <c r="O54" s="281" t="s">
        <v>59</v>
      </c>
      <c r="P54" s="154">
        <v>0</v>
      </c>
      <c r="Q54" s="155">
        <v>0</v>
      </c>
      <c r="R54" s="280">
        <v>0</v>
      </c>
      <c r="S54" s="281">
        <v>0</v>
      </c>
      <c r="T54" s="154">
        <v>0</v>
      </c>
      <c r="U54" s="155">
        <v>0</v>
      </c>
      <c r="V54" s="280">
        <v>0</v>
      </c>
      <c r="W54" s="281">
        <v>0</v>
      </c>
      <c r="X54" s="154">
        <v>0</v>
      </c>
      <c r="Y54" s="155">
        <v>0</v>
      </c>
      <c r="Z54" s="280">
        <v>0</v>
      </c>
      <c r="AA54" s="281">
        <v>0</v>
      </c>
      <c r="AB54" s="267">
        <f t="shared" si="29"/>
        <v>38</v>
      </c>
      <c r="AC54" s="284">
        <f t="shared" si="35"/>
        <v>46</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650.34129620238207</v>
      </c>
      <c r="D56" s="280">
        <v>640.94922836107526</v>
      </c>
      <c r="E56" s="285">
        <f t="shared" ref="E56:E61" si="36">J56+N56+G56+P56+T56+X56</f>
        <v>640.94922836107526</v>
      </c>
      <c r="F56" s="280">
        <f t="shared" si="33"/>
        <v>468.79089621142003</v>
      </c>
      <c r="G56" s="266">
        <v>172.15833214965522</v>
      </c>
      <c r="H56" s="266">
        <v>287.79140070821859</v>
      </c>
      <c r="I56" s="268" t="s">
        <v>59</v>
      </c>
      <c r="J56" s="280">
        <v>75.286257408832569</v>
      </c>
      <c r="K56" s="281" t="s">
        <v>59</v>
      </c>
      <c r="L56" s="266">
        <v>160.65534792290475</v>
      </c>
      <c r="M56" s="268" t="s">
        <v>59</v>
      </c>
      <c r="N56" s="280">
        <v>393.50463880258752</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448.44674863112334</v>
      </c>
      <c r="AC56" s="284">
        <f t="shared" ref="AC56:AC68" si="38">J56+N56+R56+V56+Z56</f>
        <v>468.79089621142009</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59</v>
      </c>
      <c r="D61" s="280">
        <v>59</v>
      </c>
      <c r="E61" s="285">
        <f t="shared" si="36"/>
        <v>59</v>
      </c>
      <c r="F61" s="285">
        <f t="shared" si="33"/>
        <v>46</v>
      </c>
      <c r="G61" s="266">
        <v>13</v>
      </c>
      <c r="H61" s="266">
        <v>29</v>
      </c>
      <c r="I61" s="268" t="s">
        <v>59</v>
      </c>
      <c r="J61" s="280">
        <v>8</v>
      </c>
      <c r="K61" s="281" t="s">
        <v>59</v>
      </c>
      <c r="L61" s="266">
        <v>9</v>
      </c>
      <c r="M61" s="268" t="s">
        <v>59</v>
      </c>
      <c r="N61" s="280">
        <v>38</v>
      </c>
      <c r="O61" s="281" t="s">
        <v>59</v>
      </c>
      <c r="P61" s="154">
        <v>0</v>
      </c>
      <c r="Q61" s="155">
        <v>0</v>
      </c>
      <c r="R61" s="280">
        <v>0</v>
      </c>
      <c r="S61" s="281">
        <v>0</v>
      </c>
      <c r="T61" s="154">
        <v>0</v>
      </c>
      <c r="U61" s="155">
        <v>0</v>
      </c>
      <c r="V61" s="280">
        <v>0</v>
      </c>
      <c r="W61" s="281">
        <v>0</v>
      </c>
      <c r="X61" s="154">
        <v>0</v>
      </c>
      <c r="Y61" s="155">
        <v>0</v>
      </c>
      <c r="Z61" s="280">
        <v>0</v>
      </c>
      <c r="AA61" s="281">
        <v>0</v>
      </c>
      <c r="AB61" s="267">
        <f t="shared" si="37"/>
        <v>38</v>
      </c>
      <c r="AC61" s="284">
        <f t="shared" si="38"/>
        <v>46</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M_00.0020.000020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625</v>
      </c>
      <c r="AY22" s="465" t="s">
        <v>626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55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283380.18595999997</v>
      </c>
      <c r="Q26" s="177" t="s">
        <v>425</v>
      </c>
      <c r="R26" s="179">
        <f>SUM(R27:R86)</f>
        <v>283379.95928999997</v>
      </c>
      <c r="S26" s="177" t="s">
        <v>425</v>
      </c>
      <c r="T26" s="177" t="s">
        <v>425</v>
      </c>
      <c r="U26" s="177" t="s">
        <v>425</v>
      </c>
      <c r="V26" s="177" t="s">
        <v>425</v>
      </c>
      <c r="W26" s="177" t="s">
        <v>425</v>
      </c>
      <c r="X26" s="177" t="s">
        <v>425</v>
      </c>
      <c r="Y26" s="177" t="s">
        <v>425</v>
      </c>
      <c r="Z26" s="177" t="s">
        <v>425</v>
      </c>
      <c r="AA26" s="177" t="s">
        <v>425</v>
      </c>
      <c r="AB26" s="179">
        <f>SUM(AB27:AB86)</f>
        <v>261186.81102999998</v>
      </c>
      <c r="AC26" s="177" t="s">
        <v>425</v>
      </c>
      <c r="AD26" s="179">
        <f>SUM(AD27:AD86)</f>
        <v>311128.62507499993</v>
      </c>
      <c r="AE26" s="179">
        <f>SUM(AE27:AE86)</f>
        <v>151256.17967499999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133423.02346999999</v>
      </c>
      <c r="AY26" s="179">
        <f t="shared" si="46"/>
        <v>159872.44975</v>
      </c>
      <c r="AZ26" s="179" t="s">
        <v>425</v>
      </c>
      <c r="BA26" s="179" t="s">
        <v>425</v>
      </c>
      <c r="BB26" s="179"/>
      <c r="BC26" s="179"/>
      <c r="BD26" s="179"/>
    </row>
    <row r="27" spans="1:56" s="218" customFormat="1" ht="236.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12069.590099999999</v>
      </c>
      <c r="Q27" s="214" t="s">
        <v>512</v>
      </c>
      <c r="R27" s="215">
        <v>12069.590099999999</v>
      </c>
      <c r="S27" s="214" t="s">
        <v>513</v>
      </c>
      <c r="T27" s="214" t="s">
        <v>513</v>
      </c>
      <c r="U27" s="214">
        <v>6</v>
      </c>
      <c r="V27" s="214">
        <v>6</v>
      </c>
      <c r="W27" s="214" t="s">
        <v>514</v>
      </c>
      <c r="X27" s="214" t="s">
        <v>515</v>
      </c>
      <c r="Y27" s="214" t="s">
        <v>516</v>
      </c>
      <c r="Z27" s="214">
        <v>1</v>
      </c>
      <c r="AA27" s="214" t="s">
        <v>517</v>
      </c>
      <c r="AB27" s="215">
        <v>7066.5203000000001</v>
      </c>
      <c r="AC27" s="214" t="s">
        <v>518</v>
      </c>
      <c r="AD27" s="215">
        <v>8479.82</v>
      </c>
      <c r="AE27" s="291">
        <f>IF(IFERROR(AD27-AY27,"нд")&lt;0,0,IFERROR(AD27-AY27,"нд"))</f>
        <v>0</v>
      </c>
      <c r="AF27" s="214">
        <v>32312147451</v>
      </c>
      <c r="AG27" s="214" t="s">
        <v>519</v>
      </c>
      <c r="AH27" s="214" t="s">
        <v>520</v>
      </c>
      <c r="AI27" s="216">
        <v>44985</v>
      </c>
      <c r="AJ27" s="216">
        <v>44984</v>
      </c>
      <c r="AK27" s="216">
        <v>44995</v>
      </c>
      <c r="AL27" s="216">
        <v>45020</v>
      </c>
      <c r="AM27" s="214" t="s">
        <v>425</v>
      </c>
      <c r="AN27" s="214" t="s">
        <v>425</v>
      </c>
      <c r="AO27" s="214" t="s">
        <v>425</v>
      </c>
      <c r="AP27" s="214" t="s">
        <v>425</v>
      </c>
      <c r="AQ27" s="216">
        <v>45040</v>
      </c>
      <c r="AR27" s="216">
        <v>45034</v>
      </c>
      <c r="AS27" s="216">
        <v>45040</v>
      </c>
      <c r="AT27" s="216">
        <v>45034</v>
      </c>
      <c r="AU27" s="216">
        <v>45635</v>
      </c>
      <c r="AV27" s="214" t="s">
        <v>425</v>
      </c>
      <c r="AW27" s="214" t="s">
        <v>425</v>
      </c>
      <c r="AX27" s="217">
        <v>7066.5203000000001</v>
      </c>
      <c r="AY27" s="217">
        <v>8479.824349999999</v>
      </c>
      <c r="AZ27" s="215" t="s">
        <v>521</v>
      </c>
      <c r="BA27" s="215" t="s">
        <v>509</v>
      </c>
      <c r="BB27" s="215" t="s">
        <v>518</v>
      </c>
      <c r="BC27" s="215" t="s">
        <v>522</v>
      </c>
      <c r="BD27" s="215" t="str">
        <f>CONCATENATE(BB27,", ",BA27,", ",N27,", ","договор № ",BC27)</f>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511</v>
      </c>
      <c r="P28" s="215">
        <v>56374.788399999998</v>
      </c>
      <c r="Q28" s="214" t="s">
        <v>512</v>
      </c>
      <c r="R28" s="215">
        <v>56374.788399999998</v>
      </c>
      <c r="S28" s="214" t="s">
        <v>525</v>
      </c>
      <c r="T28" s="214" t="s">
        <v>525</v>
      </c>
      <c r="U28" s="214">
        <v>6</v>
      </c>
      <c r="V28" s="214">
        <v>1</v>
      </c>
      <c r="W28" s="214" t="s">
        <v>518</v>
      </c>
      <c r="X28" s="214">
        <v>56374.788399999998</v>
      </c>
      <c r="Y28" s="214" t="s">
        <v>516</v>
      </c>
      <c r="Z28" s="214">
        <v>1</v>
      </c>
      <c r="AA28" s="214">
        <v>56374.788399999998</v>
      </c>
      <c r="AB28" s="215">
        <v>56374.788399999998</v>
      </c>
      <c r="AC28" s="214" t="s">
        <v>518</v>
      </c>
      <c r="AD28" s="215">
        <v>67649.746079999997</v>
      </c>
      <c r="AE28" s="291">
        <f t="shared" ref="AE28:AE86" si="49">IF(IFERROR(AD28-AY28,"нд")&lt;0,0,IFERROR(AD28-AY28,"нд"))</f>
        <v>5431.062279999991</v>
      </c>
      <c r="AF28" s="214">
        <v>32312149808</v>
      </c>
      <c r="AG28" s="214" t="s">
        <v>519</v>
      </c>
      <c r="AH28" s="214" t="s">
        <v>520</v>
      </c>
      <c r="AI28" s="216">
        <v>44985</v>
      </c>
      <c r="AJ28" s="216">
        <v>44985</v>
      </c>
      <c r="AK28" s="216">
        <v>45002</v>
      </c>
      <c r="AL28" s="216">
        <v>45022</v>
      </c>
      <c r="AM28" s="214" t="s">
        <v>425</v>
      </c>
      <c r="AN28" s="214" t="s">
        <v>425</v>
      </c>
      <c r="AO28" s="214" t="s">
        <v>425</v>
      </c>
      <c r="AP28" s="214" t="s">
        <v>425</v>
      </c>
      <c r="AQ28" s="216">
        <v>45042</v>
      </c>
      <c r="AR28" s="216">
        <v>45041</v>
      </c>
      <c r="AS28" s="216">
        <v>45042</v>
      </c>
      <c r="AT28" s="216">
        <v>45041</v>
      </c>
      <c r="AU28" s="216">
        <v>45673</v>
      </c>
      <c r="AV28" s="214" t="s">
        <v>425</v>
      </c>
      <c r="AW28" s="214" t="s">
        <v>425</v>
      </c>
      <c r="AX28" s="215">
        <v>51848.903169999998</v>
      </c>
      <c r="AY28" s="215">
        <v>62218.683800000006</v>
      </c>
      <c r="AZ28" s="215" t="s">
        <v>521</v>
      </c>
      <c r="BA28" s="215" t="s">
        <v>526</v>
      </c>
      <c r="BB28" s="215" t="s">
        <v>518</v>
      </c>
      <c r="BC28" s="215" t="s">
        <v>527</v>
      </c>
      <c r="BD28" s="215" t="str">
        <f t="shared" ref="BD28:BD86" si="50">CONCATENATE(BB28,", ",BA28,", ",N28,", ","договор № ",BC28)</f>
        <v>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v>
      </c>
    </row>
    <row r="29" spans="1:56" s="218" customFormat="1" ht="19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528</v>
      </c>
      <c r="O29" s="214" t="s">
        <v>511</v>
      </c>
      <c r="P29" s="215">
        <v>8888.1184599999997</v>
      </c>
      <c r="Q29" s="214" t="s">
        <v>512</v>
      </c>
      <c r="R29" s="215">
        <v>8888.1184599999997</v>
      </c>
      <c r="S29" s="214" t="s">
        <v>513</v>
      </c>
      <c r="T29" s="214" t="s">
        <v>513</v>
      </c>
      <c r="U29" s="214">
        <v>6</v>
      </c>
      <c r="V29" s="214">
        <v>6</v>
      </c>
      <c r="W29" s="214" t="s">
        <v>529</v>
      </c>
      <c r="X29" s="214" t="s">
        <v>530</v>
      </c>
      <c r="Y29" s="214" t="s">
        <v>516</v>
      </c>
      <c r="Z29" s="214">
        <v>1</v>
      </c>
      <c r="AA29" s="214" t="s">
        <v>531</v>
      </c>
      <c r="AB29" s="215">
        <v>6322</v>
      </c>
      <c r="AC29" s="214" t="s">
        <v>518</v>
      </c>
      <c r="AD29" s="215">
        <v>7586.4</v>
      </c>
      <c r="AE29" s="291">
        <f t="shared" si="49"/>
        <v>6681.5783999999994</v>
      </c>
      <c r="AF29" s="214">
        <v>32312069361</v>
      </c>
      <c r="AG29" s="214" t="s">
        <v>519</v>
      </c>
      <c r="AH29" s="214" t="s">
        <v>532</v>
      </c>
      <c r="AI29" s="216">
        <v>44957</v>
      </c>
      <c r="AJ29" s="216">
        <v>44956</v>
      </c>
      <c r="AK29" s="216">
        <v>44966</v>
      </c>
      <c r="AL29" s="216">
        <v>45000</v>
      </c>
      <c r="AM29" s="214" t="s">
        <v>425</v>
      </c>
      <c r="AN29" s="214" t="s">
        <v>425</v>
      </c>
      <c r="AO29" s="214" t="s">
        <v>425</v>
      </c>
      <c r="AP29" s="214" t="s">
        <v>425</v>
      </c>
      <c r="AQ29" s="216">
        <v>45020</v>
      </c>
      <c r="AR29" s="216">
        <v>45020</v>
      </c>
      <c r="AS29" s="216">
        <v>45020</v>
      </c>
      <c r="AT29" s="216">
        <v>45020</v>
      </c>
      <c r="AU29" s="216">
        <v>45363</v>
      </c>
      <c r="AV29" s="214" t="s">
        <v>425</v>
      </c>
      <c r="AW29" s="214" t="s">
        <v>425</v>
      </c>
      <c r="AX29" s="215">
        <v>950</v>
      </c>
      <c r="AY29" s="215">
        <v>904.82159999999999</v>
      </c>
      <c r="AZ29" s="215" t="s">
        <v>521</v>
      </c>
      <c r="BA29" s="215" t="s">
        <v>509</v>
      </c>
      <c r="BB29" s="215" t="s">
        <v>518</v>
      </c>
      <c r="BC29" s="215" t="s">
        <v>533</v>
      </c>
      <c r="BD29" s="215" t="str">
        <f t="shared" si="50"/>
        <v>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534</v>
      </c>
      <c r="N30" s="214" t="s">
        <v>535</v>
      </c>
      <c r="O30" s="214" t="s">
        <v>511</v>
      </c>
      <c r="P30" s="215">
        <v>54240</v>
      </c>
      <c r="Q30" s="214" t="s">
        <v>512</v>
      </c>
      <c r="R30" s="215">
        <v>54240</v>
      </c>
      <c r="S30" s="214" t="s">
        <v>536</v>
      </c>
      <c r="T30" s="214" t="s">
        <v>536</v>
      </c>
      <c r="U30" s="214">
        <v>3</v>
      </c>
      <c r="V30" s="214">
        <v>2</v>
      </c>
      <c r="W30" s="214" t="s">
        <v>537</v>
      </c>
      <c r="X30" s="214">
        <v>54240</v>
      </c>
      <c r="Y30" s="214" t="s">
        <v>516</v>
      </c>
      <c r="Z30" s="214" t="s">
        <v>425</v>
      </c>
      <c r="AA30" s="214">
        <v>54150</v>
      </c>
      <c r="AB30" s="215">
        <v>54150</v>
      </c>
      <c r="AC30" s="214" t="s">
        <v>538</v>
      </c>
      <c r="AD30" s="215">
        <v>64980</v>
      </c>
      <c r="AE30" s="291">
        <f t="shared" si="49"/>
        <v>1188</v>
      </c>
      <c r="AF30" s="214">
        <v>32312420718</v>
      </c>
      <c r="AG30" s="214" t="s">
        <v>519</v>
      </c>
      <c r="AH30" s="214" t="s">
        <v>532</v>
      </c>
      <c r="AI30" s="216">
        <v>45077</v>
      </c>
      <c r="AJ30" s="216">
        <v>45071</v>
      </c>
      <c r="AK30" s="216">
        <v>45090</v>
      </c>
      <c r="AL30" s="216">
        <v>45110</v>
      </c>
      <c r="AM30" s="214" t="s">
        <v>425</v>
      </c>
      <c r="AN30" s="214" t="s">
        <v>425</v>
      </c>
      <c r="AO30" s="214" t="s">
        <v>425</v>
      </c>
      <c r="AP30" s="214" t="s">
        <v>425</v>
      </c>
      <c r="AQ30" s="216">
        <v>45130</v>
      </c>
      <c r="AR30" s="216">
        <v>45128</v>
      </c>
      <c r="AS30" s="216">
        <v>45130</v>
      </c>
      <c r="AT30" s="216">
        <v>45128</v>
      </c>
      <c r="AU30" s="216">
        <v>45306</v>
      </c>
      <c r="AV30" s="214" t="s">
        <v>425</v>
      </c>
      <c r="AW30" s="214" t="s">
        <v>425</v>
      </c>
      <c r="AX30" s="215">
        <v>53160</v>
      </c>
      <c r="AY30" s="215">
        <v>63792</v>
      </c>
      <c r="AZ30" s="215" t="s">
        <v>539</v>
      </c>
      <c r="BA30" s="215" t="s">
        <v>534</v>
      </c>
      <c r="BB30" s="215" t="s">
        <v>538</v>
      </c>
      <c r="BC30" s="215" t="s">
        <v>540</v>
      </c>
      <c r="BD30" s="215" t="str">
        <f t="shared" si="50"/>
        <v>ООО "ИЦС", ТМЦ, Поставка выключателей баковых элегазовых ПС 220 кВ Чулымская, договор № ПД-23-00242 от 21.07.2023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534</v>
      </c>
      <c r="N31" s="214" t="s">
        <v>541</v>
      </c>
      <c r="O31" s="214" t="s">
        <v>511</v>
      </c>
      <c r="P31" s="215">
        <v>7896.58</v>
      </c>
      <c r="Q31" s="214" t="s">
        <v>512</v>
      </c>
      <c r="R31" s="215">
        <v>7896.58</v>
      </c>
      <c r="S31" s="214" t="s">
        <v>542</v>
      </c>
      <c r="T31" s="214" t="s">
        <v>542</v>
      </c>
      <c r="U31" s="214">
        <v>3</v>
      </c>
      <c r="V31" s="214">
        <v>1</v>
      </c>
      <c r="W31" s="214" t="s">
        <v>543</v>
      </c>
      <c r="X31" s="214">
        <v>7883.28</v>
      </c>
      <c r="Y31" s="214" t="s">
        <v>425</v>
      </c>
      <c r="Z31" s="214">
        <v>1</v>
      </c>
      <c r="AA31" s="214">
        <v>7883.28</v>
      </c>
      <c r="AB31" s="215">
        <v>7882.1</v>
      </c>
      <c r="AC31" s="214" t="s">
        <v>543</v>
      </c>
      <c r="AD31" s="215">
        <v>9458.52</v>
      </c>
      <c r="AE31" s="291">
        <f t="shared" si="49"/>
        <v>6378.72</v>
      </c>
      <c r="AF31" s="214">
        <v>32413447988</v>
      </c>
      <c r="AG31" s="214" t="s">
        <v>519</v>
      </c>
      <c r="AH31" s="214" t="s">
        <v>532</v>
      </c>
      <c r="AI31" s="216">
        <v>45382</v>
      </c>
      <c r="AJ31" s="216">
        <v>45380</v>
      </c>
      <c r="AK31" s="216">
        <v>45390</v>
      </c>
      <c r="AL31" s="216">
        <v>45399</v>
      </c>
      <c r="AM31" s="214" t="s">
        <v>425</v>
      </c>
      <c r="AN31" s="214" t="s">
        <v>425</v>
      </c>
      <c r="AO31" s="214" t="s">
        <v>425</v>
      </c>
      <c r="AP31" s="214" t="s">
        <v>425</v>
      </c>
      <c r="AQ31" s="216">
        <v>45412</v>
      </c>
      <c r="AR31" s="216">
        <v>45414</v>
      </c>
      <c r="AS31" s="216">
        <v>45412</v>
      </c>
      <c r="AT31" s="216">
        <v>45414</v>
      </c>
      <c r="AU31" s="216">
        <v>45443</v>
      </c>
      <c r="AV31" s="214" t="s">
        <v>425</v>
      </c>
      <c r="AW31" s="214" t="s">
        <v>425</v>
      </c>
      <c r="AX31" s="215">
        <v>2566.5</v>
      </c>
      <c r="AY31" s="215">
        <v>3079.8</v>
      </c>
      <c r="AZ31" s="215" t="s">
        <v>539</v>
      </c>
      <c r="BA31" s="215" t="s">
        <v>534</v>
      </c>
      <c r="BB31" s="215" t="s">
        <v>544</v>
      </c>
      <c r="BC31" s="215" t="s">
        <v>545</v>
      </c>
      <c r="BD31" s="215" t="str">
        <f t="shared" si="50"/>
        <v xml:space="preserve"> ООО "ЭКРА-СИБИРЬ", ТМЦ, Поставка аппаратуры передачи сигналов, договор № ПД-24-00092 от 02.05.2024</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526</v>
      </c>
      <c r="N32" s="214" t="s">
        <v>546</v>
      </c>
      <c r="O32" s="214" t="s">
        <v>511</v>
      </c>
      <c r="P32" s="215">
        <v>13702</v>
      </c>
      <c r="Q32" s="214" t="s">
        <v>512</v>
      </c>
      <c r="R32" s="215">
        <v>13701.77333</v>
      </c>
      <c r="S32" s="214" t="s">
        <v>525</v>
      </c>
      <c r="T32" s="214" t="s">
        <v>525</v>
      </c>
      <c r="U32" s="214">
        <v>3</v>
      </c>
      <c r="V32" s="214">
        <v>2</v>
      </c>
      <c r="W32" s="214" t="s">
        <v>547</v>
      </c>
      <c r="X32" s="214" t="s">
        <v>548</v>
      </c>
      <c r="Y32" s="214" t="s">
        <v>549</v>
      </c>
      <c r="Z32" s="214">
        <v>1</v>
      </c>
      <c r="AA32" s="214">
        <v>13701.77333</v>
      </c>
      <c r="AB32" s="215">
        <v>13701.77333</v>
      </c>
      <c r="AC32" s="214" t="s">
        <v>550</v>
      </c>
      <c r="AD32" s="215">
        <v>20552.659995000002</v>
      </c>
      <c r="AE32" s="291">
        <f t="shared" si="49"/>
        <v>20552.659995000002</v>
      </c>
      <c r="AF32" s="214" t="s">
        <v>551</v>
      </c>
      <c r="AG32" s="214" t="s">
        <v>519</v>
      </c>
      <c r="AH32" s="214" t="s">
        <v>532</v>
      </c>
      <c r="AI32" s="216">
        <v>45412</v>
      </c>
      <c r="AJ32" s="216">
        <v>45394</v>
      </c>
      <c r="AK32" s="216">
        <v>45428</v>
      </c>
      <c r="AL32" s="216">
        <v>45448</v>
      </c>
      <c r="AM32" s="214" t="s">
        <v>425</v>
      </c>
      <c r="AN32" s="214" t="s">
        <v>425</v>
      </c>
      <c r="AO32" s="214" t="s">
        <v>425</v>
      </c>
      <c r="AP32" s="214" t="s">
        <v>425</v>
      </c>
      <c r="AQ32" s="216">
        <v>45473</v>
      </c>
      <c r="AR32" s="216">
        <v>45468</v>
      </c>
      <c r="AS32" s="216">
        <v>45473</v>
      </c>
      <c r="AT32" s="216">
        <v>45468</v>
      </c>
      <c r="AU32" s="216">
        <v>45688</v>
      </c>
      <c r="AV32" s="214" t="s">
        <v>425</v>
      </c>
      <c r="AW32" s="214" t="s">
        <v>425</v>
      </c>
      <c r="AX32" s="215">
        <v>0</v>
      </c>
      <c r="AY32" s="215">
        <v>0</v>
      </c>
      <c r="AZ32" s="215" t="s">
        <v>521</v>
      </c>
      <c r="BA32" s="215" t="s">
        <v>526</v>
      </c>
      <c r="BB32" s="215" t="s">
        <v>550</v>
      </c>
      <c r="BC32" s="215" t="s">
        <v>552</v>
      </c>
      <c r="BD32" s="215" t="str">
        <f t="shared" si="50"/>
        <v>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v>
      </c>
    </row>
    <row r="33" spans="1:56" s="218" customFormat="1" ht="123.7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526</v>
      </c>
      <c r="N33" s="214" t="s">
        <v>553</v>
      </c>
      <c r="O33" s="214" t="s">
        <v>511</v>
      </c>
      <c r="P33" s="215">
        <v>17370.309000000001</v>
      </c>
      <c r="Q33" s="214" t="s">
        <v>512</v>
      </c>
      <c r="R33" s="215">
        <v>17370.309000000001</v>
      </c>
      <c r="S33" s="214" t="s">
        <v>525</v>
      </c>
      <c r="T33" s="214" t="s">
        <v>525</v>
      </c>
      <c r="U33" s="214">
        <v>3</v>
      </c>
      <c r="V33" s="214">
        <v>3</v>
      </c>
      <c r="W33" s="214" t="s">
        <v>554</v>
      </c>
      <c r="X33" s="214" t="s">
        <v>555</v>
      </c>
      <c r="Y33" s="214" t="s">
        <v>425</v>
      </c>
      <c r="Z33" s="214">
        <v>1</v>
      </c>
      <c r="AA33" s="214" t="s">
        <v>556</v>
      </c>
      <c r="AB33" s="215">
        <v>14576.75</v>
      </c>
      <c r="AC33" s="214" t="s">
        <v>557</v>
      </c>
      <c r="AD33" s="215">
        <v>17492.099999999999</v>
      </c>
      <c r="AE33" s="291">
        <f t="shared" si="49"/>
        <v>17492.099999999999</v>
      </c>
      <c r="AF33" s="214">
        <v>32413650126</v>
      </c>
      <c r="AG33" s="214" t="s">
        <v>519</v>
      </c>
      <c r="AH33" s="214" t="s">
        <v>532</v>
      </c>
      <c r="AI33" s="216">
        <v>45443</v>
      </c>
      <c r="AJ33" s="216">
        <v>45441</v>
      </c>
      <c r="AK33" s="216">
        <v>45457</v>
      </c>
      <c r="AL33" s="216">
        <v>45485</v>
      </c>
      <c r="AM33" s="214" t="s">
        <v>425</v>
      </c>
      <c r="AN33" s="214" t="s">
        <v>425</v>
      </c>
      <c r="AO33" s="214" t="s">
        <v>425</v>
      </c>
      <c r="AP33" s="214" t="s">
        <v>425</v>
      </c>
      <c r="AQ33" s="216">
        <v>45473</v>
      </c>
      <c r="AR33" s="216">
        <v>45505</v>
      </c>
      <c r="AS33" s="216">
        <v>45473</v>
      </c>
      <c r="AT33" s="216">
        <v>45505</v>
      </c>
      <c r="AU33" s="216">
        <v>45657</v>
      </c>
      <c r="AV33" s="214" t="s">
        <v>425</v>
      </c>
      <c r="AW33" s="214" t="s">
        <v>425</v>
      </c>
      <c r="AX33" s="215">
        <v>0</v>
      </c>
      <c r="AY33" s="215">
        <v>0</v>
      </c>
      <c r="AZ33" s="215" t="s">
        <v>521</v>
      </c>
      <c r="BA33" s="215" t="s">
        <v>526</v>
      </c>
      <c r="BB33" s="215" t="s">
        <v>557</v>
      </c>
      <c r="BC33" s="215" t="s">
        <v>558</v>
      </c>
      <c r="BD33" s="215" t="str">
        <f t="shared" si="50"/>
        <v xml:space="preserve">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на согласовании</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534</v>
      </c>
      <c r="N34" s="214" t="s">
        <v>559</v>
      </c>
      <c r="O34" s="214" t="s">
        <v>511</v>
      </c>
      <c r="P34" s="215">
        <v>18195</v>
      </c>
      <c r="Q34" s="214" t="s">
        <v>512</v>
      </c>
      <c r="R34" s="215">
        <v>18195</v>
      </c>
      <c r="S34" s="214" t="s">
        <v>536</v>
      </c>
      <c r="T34" s="214" t="s">
        <v>536</v>
      </c>
      <c r="U34" s="214">
        <v>5</v>
      </c>
      <c r="V34" s="214">
        <v>3</v>
      </c>
      <c r="W34" s="214" t="s">
        <v>560</v>
      </c>
      <c r="X34" s="214" t="s">
        <v>561</v>
      </c>
      <c r="Y34" s="214" t="s">
        <v>562</v>
      </c>
      <c r="Z34" s="214">
        <v>1</v>
      </c>
      <c r="AA34" s="214" t="s">
        <v>563</v>
      </c>
      <c r="AB34" s="215">
        <v>17831.099999999999</v>
      </c>
      <c r="AC34" s="214" t="s">
        <v>518</v>
      </c>
      <c r="AD34" s="215">
        <v>21397.319999999996</v>
      </c>
      <c r="AE34" s="291">
        <f t="shared" si="49"/>
        <v>0</v>
      </c>
      <c r="AF34" s="214">
        <v>32312763661</v>
      </c>
      <c r="AG34" s="214" t="s">
        <v>519</v>
      </c>
      <c r="AH34" s="214" t="s">
        <v>532</v>
      </c>
      <c r="AI34" s="216">
        <v>45199</v>
      </c>
      <c r="AJ34" s="216">
        <v>45183</v>
      </c>
      <c r="AK34" s="216">
        <v>45192</v>
      </c>
      <c r="AL34" s="216">
        <v>45210</v>
      </c>
      <c r="AM34" s="214" t="s">
        <v>425</v>
      </c>
      <c r="AN34" s="214" t="s">
        <v>425</v>
      </c>
      <c r="AO34" s="214" t="s">
        <v>425</v>
      </c>
      <c r="AP34" s="214" t="s">
        <v>425</v>
      </c>
      <c r="AQ34" s="216">
        <v>45230</v>
      </c>
      <c r="AR34" s="216">
        <v>45224</v>
      </c>
      <c r="AS34" s="216">
        <v>45230</v>
      </c>
      <c r="AT34" s="216">
        <v>45224</v>
      </c>
      <c r="AU34" s="216">
        <v>45301</v>
      </c>
      <c r="AV34" s="214" t="s">
        <v>425</v>
      </c>
      <c r="AW34" s="214" t="s">
        <v>425</v>
      </c>
      <c r="AX34" s="215">
        <v>17831.099999999999</v>
      </c>
      <c r="AY34" s="215">
        <v>21397.32</v>
      </c>
      <c r="AZ34" s="215" t="s">
        <v>539</v>
      </c>
      <c r="BA34" s="215" t="s">
        <v>534</v>
      </c>
      <c r="BB34" s="215" t="s">
        <v>518</v>
      </c>
      <c r="BC34" s="215" t="s">
        <v>564</v>
      </c>
      <c r="BD34" s="215" t="str">
        <f t="shared" si="50"/>
        <v>ОБЩЕСТВО С ОГРАНИЧЕННОЙ ОТВЕТСТВЕННОСТЬЮ "ВЕЛЛЭНЕРДЖИ", ТМЦ, Поставка шкафов защит, договор № ПД-23-00317 от 25.10.2023</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534</v>
      </c>
      <c r="N35" s="214" t="s">
        <v>600</v>
      </c>
      <c r="O35" s="214" t="s">
        <v>511</v>
      </c>
      <c r="P35" s="215">
        <v>25914.799999999999</v>
      </c>
      <c r="Q35" s="214" t="s">
        <v>512</v>
      </c>
      <c r="R35" s="215">
        <v>25914.799999999999</v>
      </c>
      <c r="S35" s="214" t="s">
        <v>542</v>
      </c>
      <c r="T35" s="214" t="s">
        <v>542</v>
      </c>
      <c r="U35" s="214">
        <v>2</v>
      </c>
      <c r="V35" s="214">
        <v>2</v>
      </c>
      <c r="W35" s="214" t="s">
        <v>601</v>
      </c>
      <c r="X35" s="214" t="s">
        <v>602</v>
      </c>
      <c r="Y35" s="214" t="s">
        <v>516</v>
      </c>
      <c r="Z35" s="214">
        <v>1</v>
      </c>
      <c r="AA35" s="214" t="s">
        <v>603</v>
      </c>
      <c r="AB35" s="215">
        <v>25700</v>
      </c>
      <c r="AC35" s="214" t="s">
        <v>518</v>
      </c>
      <c r="AD35" s="215">
        <v>25700</v>
      </c>
      <c r="AE35" s="291">
        <f t="shared" si="49"/>
        <v>25700</v>
      </c>
      <c r="AF35" s="214">
        <v>32413971115</v>
      </c>
      <c r="AG35" s="214" t="s">
        <v>519</v>
      </c>
      <c r="AH35" s="214" t="s">
        <v>532</v>
      </c>
      <c r="AI35" s="216">
        <v>45565</v>
      </c>
      <c r="AJ35" s="216">
        <v>45544</v>
      </c>
      <c r="AK35" s="216">
        <v>45559</v>
      </c>
      <c r="AL35" s="216">
        <v>45576</v>
      </c>
      <c r="AM35" s="214" t="s">
        <v>425</v>
      </c>
      <c r="AN35" s="214" t="s">
        <v>425</v>
      </c>
      <c r="AO35" s="214" t="s">
        <v>425</v>
      </c>
      <c r="AP35" s="214" t="s">
        <v>425</v>
      </c>
      <c r="AQ35" s="216">
        <v>45596</v>
      </c>
      <c r="AR35" s="216">
        <v>45593</v>
      </c>
      <c r="AS35" s="216">
        <v>45596</v>
      </c>
      <c r="AT35" s="216">
        <v>45593</v>
      </c>
      <c r="AU35" s="216">
        <v>45657</v>
      </c>
      <c r="AV35" s="214" t="s">
        <v>425</v>
      </c>
      <c r="AW35" s="214" t="s">
        <v>425</v>
      </c>
      <c r="AX35" s="215"/>
      <c r="AY35" s="215"/>
      <c r="AZ35" s="215" t="s">
        <v>539</v>
      </c>
      <c r="BA35" s="215" t="s">
        <v>534</v>
      </c>
      <c r="BB35" s="215" t="s">
        <v>518</v>
      </c>
      <c r="BC35" s="215" t="s">
        <v>620</v>
      </c>
      <c r="BD35" s="215" t="str">
        <f t="shared" si="50"/>
        <v>ОБЩЕСТВО С ОГРАНИЧЕННОЙ ОТВЕТСТВЕННОСТЬЮ "ВЕЛЛЭНЕРДЖИ", ТМЦ, Поставка шкафов РЗА и управления в ОПУ-ЗРУ																										, договор № ПД-24-00261 от 28.10.2024</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534</v>
      </c>
      <c r="N36" s="214" t="s">
        <v>604</v>
      </c>
      <c r="O36" s="214" t="s">
        <v>511</v>
      </c>
      <c r="P36" s="215">
        <v>9100</v>
      </c>
      <c r="Q36" s="214" t="s">
        <v>512</v>
      </c>
      <c r="R36" s="215">
        <v>9100</v>
      </c>
      <c r="S36" s="214" t="s">
        <v>542</v>
      </c>
      <c r="T36" s="214" t="s">
        <v>542</v>
      </c>
      <c r="U36" s="214">
        <v>3</v>
      </c>
      <c r="V36" s="214">
        <v>4</v>
      </c>
      <c r="W36" s="214" t="s">
        <v>605</v>
      </c>
      <c r="X36" s="214" t="s">
        <v>606</v>
      </c>
      <c r="Y36" s="214">
        <v>3872242557</v>
      </c>
      <c r="Z36" s="214">
        <v>1</v>
      </c>
      <c r="AA36" s="214">
        <v>6330.3789999999999</v>
      </c>
      <c r="AB36" s="215">
        <v>6330.3789999999999</v>
      </c>
      <c r="AC36" s="214" t="s">
        <v>607</v>
      </c>
      <c r="AD36" s="215">
        <v>6330.3789999999999</v>
      </c>
      <c r="AE36" s="291">
        <f t="shared" si="49"/>
        <v>6330.3789999999999</v>
      </c>
      <c r="AF36" s="214">
        <v>32413971118</v>
      </c>
      <c r="AG36" s="214" t="s">
        <v>519</v>
      </c>
      <c r="AH36" s="214" t="s">
        <v>532</v>
      </c>
      <c r="AI36" s="216">
        <v>45565</v>
      </c>
      <c r="AJ36" s="216">
        <v>45544</v>
      </c>
      <c r="AK36" s="216">
        <v>45559</v>
      </c>
      <c r="AL36" s="216">
        <v>45579</v>
      </c>
      <c r="AM36" s="214" t="s">
        <v>425</v>
      </c>
      <c r="AN36" s="214" t="s">
        <v>425</v>
      </c>
      <c r="AO36" s="214" t="s">
        <v>425</v>
      </c>
      <c r="AP36" s="214" t="s">
        <v>425</v>
      </c>
      <c r="AQ36" s="216">
        <v>45601</v>
      </c>
      <c r="AR36" s="216">
        <v>45601</v>
      </c>
      <c r="AS36" s="216">
        <v>45601</v>
      </c>
      <c r="AT36" s="216">
        <v>45601</v>
      </c>
      <c r="AU36" s="216">
        <v>45657</v>
      </c>
      <c r="AV36" s="214" t="s">
        <v>425</v>
      </c>
      <c r="AW36" s="214" t="s">
        <v>425</v>
      </c>
      <c r="AX36" s="215"/>
      <c r="AY36" s="215"/>
      <c r="AZ36" s="215" t="s">
        <v>539</v>
      </c>
      <c r="BA36" s="215" t="s">
        <v>534</v>
      </c>
      <c r="BB36" s="215" t="s">
        <v>607</v>
      </c>
      <c r="BC36" s="215" t="s">
        <v>621</v>
      </c>
      <c r="BD36" s="215" t="str">
        <f t="shared" si="50"/>
        <v>Общество с ограниченной ответственностью "Группа ЭНЭЛТ", ТМЦ, Поставка щита собственных нужд, договор № ПД-24-00269 от 05.11.2024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534</v>
      </c>
      <c r="N37" s="214" t="s">
        <v>608</v>
      </c>
      <c r="O37" s="214" t="s">
        <v>511</v>
      </c>
      <c r="P37" s="215">
        <v>2649</v>
      </c>
      <c r="Q37" s="214" t="s">
        <v>512</v>
      </c>
      <c r="R37" s="215">
        <v>2649</v>
      </c>
      <c r="S37" s="214" t="s">
        <v>513</v>
      </c>
      <c r="T37" s="214" t="s">
        <v>513</v>
      </c>
      <c r="U37" s="214">
        <v>3</v>
      </c>
      <c r="V37" s="214">
        <v>3</v>
      </c>
      <c r="W37" s="214" t="s">
        <v>609</v>
      </c>
      <c r="X37" s="214" t="s">
        <v>610</v>
      </c>
      <c r="Y37" s="214" t="s">
        <v>611</v>
      </c>
      <c r="Z37" s="214">
        <v>1</v>
      </c>
      <c r="AA37" s="214" t="s">
        <v>612</v>
      </c>
      <c r="AB37" s="215">
        <v>2607.4</v>
      </c>
      <c r="AC37" s="214" t="s">
        <v>613</v>
      </c>
      <c r="AD37" s="215">
        <v>3128.88</v>
      </c>
      <c r="AE37" s="291">
        <f t="shared" si="49"/>
        <v>3128.88</v>
      </c>
      <c r="AF37" s="214">
        <v>32413977541</v>
      </c>
      <c r="AG37" s="214" t="s">
        <v>519</v>
      </c>
      <c r="AH37" s="214" t="s">
        <v>532</v>
      </c>
      <c r="AI37" s="216">
        <v>45565</v>
      </c>
      <c r="AJ37" s="216">
        <v>45546</v>
      </c>
      <c r="AK37" s="216">
        <v>45558</v>
      </c>
      <c r="AL37" s="216">
        <v>45572</v>
      </c>
      <c r="AM37" s="214" t="s">
        <v>425</v>
      </c>
      <c r="AN37" s="214" t="s">
        <v>425</v>
      </c>
      <c r="AO37" s="214" t="s">
        <v>425</v>
      </c>
      <c r="AP37" s="214" t="s">
        <v>425</v>
      </c>
      <c r="AQ37" s="216">
        <v>45593</v>
      </c>
      <c r="AR37" s="216">
        <v>45593</v>
      </c>
      <c r="AS37" s="216">
        <v>45593</v>
      </c>
      <c r="AT37" s="216">
        <v>45593</v>
      </c>
      <c r="AU37" s="216">
        <v>45657</v>
      </c>
      <c r="AV37" s="214" t="s">
        <v>425</v>
      </c>
      <c r="AW37" s="214" t="s">
        <v>425</v>
      </c>
      <c r="AX37" s="215"/>
      <c r="AY37" s="215"/>
      <c r="AZ37" s="215" t="s">
        <v>539</v>
      </c>
      <c r="BA37" s="215" t="s">
        <v>534</v>
      </c>
      <c r="BB37" s="215" t="s">
        <v>613</v>
      </c>
      <c r="BC37" s="215" t="s">
        <v>622</v>
      </c>
      <c r="BD37" s="215" t="str">
        <f t="shared" si="50"/>
        <v>ОБЩЕСТВО С ОГРАНИЧЕННОЙ ОТВЕТСТВЕННОСТЬЮ "ПАРТНЕР-ТТ", ТМЦ, Поставка трансформаторов собственных нужд, договор № ПД-24-00257 от 28.10.2024</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534</v>
      </c>
      <c r="N38" s="214" t="s">
        <v>614</v>
      </c>
      <c r="O38" s="214" t="s">
        <v>511</v>
      </c>
      <c r="P38" s="215">
        <v>29300</v>
      </c>
      <c r="Q38" s="214" t="s">
        <v>512</v>
      </c>
      <c r="R38" s="215">
        <v>29300</v>
      </c>
      <c r="S38" s="214" t="s">
        <v>542</v>
      </c>
      <c r="T38" s="214" t="s">
        <v>542</v>
      </c>
      <c r="U38" s="214">
        <v>2</v>
      </c>
      <c r="V38" s="214">
        <v>1</v>
      </c>
      <c r="W38" s="214" t="s">
        <v>518</v>
      </c>
      <c r="X38" s="214">
        <v>29300</v>
      </c>
      <c r="Y38" s="214" t="s">
        <v>516</v>
      </c>
      <c r="Z38" s="214">
        <v>1</v>
      </c>
      <c r="AA38" s="214">
        <v>29200</v>
      </c>
      <c r="AB38" s="215">
        <v>29200</v>
      </c>
      <c r="AC38" s="214" t="s">
        <v>518</v>
      </c>
      <c r="AD38" s="215">
        <v>35040</v>
      </c>
      <c r="AE38" s="291">
        <f t="shared" si="49"/>
        <v>35040</v>
      </c>
      <c r="AF38" s="214">
        <v>32413974461</v>
      </c>
      <c r="AG38" s="214" t="s">
        <v>519</v>
      </c>
      <c r="AH38" s="214" t="s">
        <v>532</v>
      </c>
      <c r="AI38" s="216">
        <v>45565</v>
      </c>
      <c r="AJ38" s="216">
        <v>45545</v>
      </c>
      <c r="AK38" s="216">
        <v>45561</v>
      </c>
      <c r="AL38" s="216">
        <v>45580</v>
      </c>
      <c r="AM38" s="214" t="s">
        <v>425</v>
      </c>
      <c r="AN38" s="214" t="s">
        <v>425</v>
      </c>
      <c r="AO38" s="214" t="s">
        <v>425</v>
      </c>
      <c r="AP38" s="214" t="s">
        <v>425</v>
      </c>
      <c r="AQ38" s="216">
        <v>45600</v>
      </c>
      <c r="AR38" s="216">
        <v>45596</v>
      </c>
      <c r="AS38" s="216">
        <v>45600</v>
      </c>
      <c r="AT38" s="216">
        <v>45596</v>
      </c>
      <c r="AU38" s="216">
        <v>45657</v>
      </c>
      <c r="AV38" s="214" t="s">
        <v>425</v>
      </c>
      <c r="AW38" s="214" t="s">
        <v>425</v>
      </c>
      <c r="AX38" s="215"/>
      <c r="AY38" s="215"/>
      <c r="AZ38" s="215" t="s">
        <v>539</v>
      </c>
      <c r="BA38" s="215" t="s">
        <v>534</v>
      </c>
      <c r="BB38" s="215" t="s">
        <v>518</v>
      </c>
      <c r="BC38" s="215" t="s">
        <v>623</v>
      </c>
      <c r="BD38" s="215" t="str">
        <f t="shared" si="50"/>
        <v>ОБЩЕСТВО С ОГРАНИЧЕННОЙ ОТВЕТСТВЕННОСТЬЮ "ВЕЛЛЭНЕРДЖИ", ТМЦ, Поставка токопровода комплектного с литой изоляцией		, договор № ПД-24-00276 от 31.10.2024</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534</v>
      </c>
      <c r="N39" s="214" t="s">
        <v>615</v>
      </c>
      <c r="O39" s="214" t="s">
        <v>511</v>
      </c>
      <c r="P39" s="215">
        <v>27680</v>
      </c>
      <c r="Q39" s="214" t="s">
        <v>512</v>
      </c>
      <c r="R39" s="215">
        <v>27680</v>
      </c>
      <c r="S39" s="214" t="s">
        <v>542</v>
      </c>
      <c r="T39" s="214" t="s">
        <v>542</v>
      </c>
      <c r="U39" s="214">
        <v>3</v>
      </c>
      <c r="V39" s="214">
        <v>5</v>
      </c>
      <c r="W39" s="214" t="s">
        <v>616</v>
      </c>
      <c r="X39" s="214" t="s">
        <v>617</v>
      </c>
      <c r="Y39" s="214">
        <v>2965321997</v>
      </c>
      <c r="Z39" s="214">
        <v>1</v>
      </c>
      <c r="AA39" s="214" t="s">
        <v>618</v>
      </c>
      <c r="AB39" s="215">
        <v>19444</v>
      </c>
      <c r="AC39" s="214" t="s">
        <v>619</v>
      </c>
      <c r="AD39" s="215">
        <v>23332.799999999999</v>
      </c>
      <c r="AE39" s="291">
        <f t="shared" si="49"/>
        <v>23332.799999999999</v>
      </c>
      <c r="AF39" s="214">
        <v>32413978335</v>
      </c>
      <c r="AG39" s="214" t="s">
        <v>519</v>
      </c>
      <c r="AH39" s="214" t="s">
        <v>532</v>
      </c>
      <c r="AI39" s="216">
        <v>45565</v>
      </c>
      <c r="AJ39" s="216">
        <v>45546</v>
      </c>
      <c r="AK39" s="216">
        <v>45560</v>
      </c>
      <c r="AL39" s="216">
        <v>45572</v>
      </c>
      <c r="AM39" s="214" t="s">
        <v>425</v>
      </c>
      <c r="AN39" s="214" t="s">
        <v>425</v>
      </c>
      <c r="AO39" s="214" t="s">
        <v>425</v>
      </c>
      <c r="AP39" s="214" t="s">
        <v>425</v>
      </c>
      <c r="AQ39" s="216">
        <v>45592</v>
      </c>
      <c r="AR39" s="216">
        <v>45593</v>
      </c>
      <c r="AS39" s="216">
        <v>45593</v>
      </c>
      <c r="AT39" s="216">
        <v>45593</v>
      </c>
      <c r="AU39" s="216">
        <v>45657</v>
      </c>
      <c r="AV39" s="214" t="s">
        <v>425</v>
      </c>
      <c r="AW39" s="214" t="s">
        <v>425</v>
      </c>
      <c r="AX39" s="215"/>
      <c r="AY39" s="215"/>
      <c r="AZ39" s="215" t="s">
        <v>539</v>
      </c>
      <c r="BA39" s="215" t="s">
        <v>534</v>
      </c>
      <c r="BB39" s="215" t="s">
        <v>619</v>
      </c>
      <c r="BC39" s="215" t="s">
        <v>624</v>
      </c>
      <c r="BD39" s="215" t="str">
        <f t="shared" si="50"/>
        <v>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M_00.0020.000020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576</v>
      </c>
    </row>
    <row r="22" spans="1:2" x14ac:dyDescent="0.25">
      <c r="A22" s="157" t="s">
        <v>306</v>
      </c>
      <c r="B22" s="157" t="s">
        <v>581</v>
      </c>
    </row>
    <row r="23" spans="1:2" x14ac:dyDescent="0.25">
      <c r="A23" s="157" t="s">
        <v>288</v>
      </c>
      <c r="B23" s="157" t="s">
        <v>567</v>
      </c>
    </row>
    <row r="24" spans="1:2" x14ac:dyDescent="0.25">
      <c r="A24" s="157" t="s">
        <v>307</v>
      </c>
      <c r="B24" s="157" t="s">
        <v>425</v>
      </c>
    </row>
    <row r="25" spans="1:2" x14ac:dyDescent="0.25">
      <c r="A25" s="158" t="s">
        <v>308</v>
      </c>
      <c r="B25" s="175">
        <v>46386</v>
      </c>
    </row>
    <row r="26" spans="1:2" x14ac:dyDescent="0.25">
      <c r="A26" s="158" t="s">
        <v>309</v>
      </c>
      <c r="B26" s="160" t="s">
        <v>580</v>
      </c>
    </row>
    <row r="27" spans="1:2" x14ac:dyDescent="0.25">
      <c r="A27" s="160" t="str">
        <f>CONCATENATE("Стоимость проекта в прогнозных ценах, млн. руб. с НДС")</f>
        <v>Стоимость проекта в прогнозных ценах, млн. руб. с НДС</v>
      </c>
      <c r="B27" s="171">
        <v>765.6115704805527</v>
      </c>
    </row>
    <row r="28" spans="1:2" ht="93.75" customHeight="1" x14ac:dyDescent="0.25">
      <c r="A28" s="159" t="s">
        <v>310</v>
      </c>
      <c r="B28" s="162" t="s">
        <v>568</v>
      </c>
    </row>
    <row r="29" spans="1:2" ht="28.5" x14ac:dyDescent="0.25">
      <c r="A29" s="160" t="s">
        <v>311</v>
      </c>
      <c r="B29" s="171">
        <f>'7. Паспорт отчет о закупке'!$AB$26*1.2/1000</f>
        <v>313.42417323599994</v>
      </c>
    </row>
    <row r="30" spans="1:2" ht="28.5" x14ac:dyDescent="0.25">
      <c r="A30" s="160" t="s">
        <v>312</v>
      </c>
      <c r="B30" s="171">
        <f>'7. Паспорт отчет о закупке'!$AD$26/1000</f>
        <v>311.12862507499995</v>
      </c>
    </row>
    <row r="31" spans="1:2" x14ac:dyDescent="0.25">
      <c r="A31" s="159" t="s">
        <v>313</v>
      </c>
      <c r="B31" s="161"/>
    </row>
    <row r="32" spans="1:2" ht="28.5" x14ac:dyDescent="0.25">
      <c r="A32" s="160" t="s">
        <v>314</v>
      </c>
      <c r="B32" s="171">
        <f>SUM(SUMIF(B33,"&gt;0",B33),SUMIF(B37,"&gt;0",B37),SUMIF(B41,"&gt;0",B41),SUMIF(B45,"&gt;0",B45),SUMIF(B49,"&gt;0",B49),SUMIF(B53,"&gt;0",B53))</f>
        <v>104.268626075</v>
      </c>
    </row>
    <row r="33" spans="1:2" ht="30" x14ac:dyDescent="0.25">
      <c r="A33" s="168" t="s">
        <v>433</v>
      </c>
      <c r="B33" s="161">
        <f>IFERROR(IF(VLOOKUP(1,'7. Паспорт отчет о закупке'!$A$27:$CD$86,52,0)="ИП",VLOOKUP(1,'7. Паспорт отчет о закупке'!$A$27:$CD$86,30,0)/1000,"нд"),"нд")</f>
        <v>8.4798200000000001</v>
      </c>
    </row>
    <row r="34" spans="1:2" x14ac:dyDescent="0.25">
      <c r="A34" s="168" t="s">
        <v>315</v>
      </c>
      <c r="B34" s="161">
        <f>IF(B33="нд","нд",$B33/$B$27*100)</f>
        <v>1.107587754280863</v>
      </c>
    </row>
    <row r="35" spans="1:2" x14ac:dyDescent="0.25">
      <c r="A35" s="168" t="s">
        <v>316</v>
      </c>
      <c r="B35" s="161">
        <f>IF(VLOOKUP(1,'7. Паспорт отчет о закупке'!$A$27:$CD$86,52,0)="ИП",VLOOKUP(1,'7. Паспорт отчет о закупке'!$A$27:$CD$86,51,0)/1000,"нд")</f>
        <v>8.4798243499999995</v>
      </c>
    </row>
    <row r="36" spans="1:2" x14ac:dyDescent="0.25">
      <c r="A36" s="168" t="s">
        <v>437</v>
      </c>
      <c r="B36" s="161">
        <f>IF(VLOOKUP(1,'7. Паспорт отчет о закупке'!$A$27:$CD$86,52,0)="ИП",VLOOKUP(1,'7. Паспорт отчет о закупке'!$A$27:$CD$86,50,0)/1000,"нд")</f>
        <v>7.0665203000000005</v>
      </c>
    </row>
    <row r="37" spans="1:2" ht="30" x14ac:dyDescent="0.25">
      <c r="A37" s="168" t="s">
        <v>433</v>
      </c>
      <c r="B37" s="161">
        <f>IF(VLOOKUP(2,'7. Паспорт отчет о закупке'!$A$27:$CD$86,52,0)="ИП",VLOOKUP(2,'7. Паспорт отчет о закупке'!$A$27:$CD$86,30,0)/1000,"нд")</f>
        <v>67.64974608</v>
      </c>
    </row>
    <row r="38" spans="1:2" x14ac:dyDescent="0.25">
      <c r="A38" s="168" t="s">
        <v>315</v>
      </c>
      <c r="B38" s="161">
        <f>IF(B37="нд","нд",$B37/$B$27*100)</f>
        <v>8.8360401917042832</v>
      </c>
    </row>
    <row r="39" spans="1:2" x14ac:dyDescent="0.25">
      <c r="A39" s="168" t="s">
        <v>316</v>
      </c>
      <c r="B39" s="161">
        <f>IF(VLOOKUP(2,'7. Паспорт отчет о закупке'!$A$27:$CD$86,52,0)="ИП",VLOOKUP(2,'7. Паспорт отчет о закупке'!$A$27:$CD$86,51,0)/1000,"нд")</f>
        <v>62.218683800000008</v>
      </c>
    </row>
    <row r="40" spans="1:2" x14ac:dyDescent="0.25">
      <c r="A40" s="168" t="s">
        <v>437</v>
      </c>
      <c r="B40" s="161">
        <f>IF(VLOOKUP(2,'7. Паспорт отчет о закупке'!$A$27:$CD$86,52,0)="ИП",VLOOKUP(2,'7. Паспорт отчет о закупке'!$A$27:$CD$86,50,0)/1000,"нд")</f>
        <v>51.84890317</v>
      </c>
    </row>
    <row r="41" spans="1:2" ht="30" x14ac:dyDescent="0.25">
      <c r="A41" s="168" t="s">
        <v>433</v>
      </c>
      <c r="B41" s="161">
        <f>IF(VLOOKUP(3,'7. Паспорт отчет о закупке'!$A$27:$CD$86,52,0)="ИП",VLOOKUP(3,'7. Паспорт отчет о закупке'!$A$27:$CD$86,30,0)/1000,"нд")</f>
        <v>7.5863999999999994</v>
      </c>
    </row>
    <row r="42" spans="1:2" x14ac:dyDescent="0.25">
      <c r="A42" s="168" t="s">
        <v>315</v>
      </c>
      <c r="B42" s="161">
        <f>IF(B41="нд","нд",$B41/$B$27*100)</f>
        <v>0.99089411556805895</v>
      </c>
    </row>
    <row r="43" spans="1:2" x14ac:dyDescent="0.25">
      <c r="A43" s="168" t="s">
        <v>316</v>
      </c>
      <c r="B43" s="161">
        <f>IF(VLOOKUP(3,'7. Паспорт отчет о закупке'!$A$27:$CD$86,52,0)="ИП",VLOOKUP(3,'7. Паспорт отчет о закупке'!$A$27:$CD$86,51,0)/1000,"нд")</f>
        <v>0.9048216</v>
      </c>
    </row>
    <row r="44" spans="1:2" x14ac:dyDescent="0.25">
      <c r="A44" s="168" t="s">
        <v>437</v>
      </c>
      <c r="B44" s="161">
        <f>IF(VLOOKUP(3,'7. Паспорт отчет о закупке'!$A$27:$CD$86,52,0)="ИП",VLOOKUP(3,'7. Паспорт отчет о закупке'!$A$27:$CD$86,50,0)/1000,"нд")</f>
        <v>0.95</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20.552659995000003</v>
      </c>
    </row>
    <row r="54" spans="1:2" x14ac:dyDescent="0.25">
      <c r="A54" s="168" t="s">
        <v>315</v>
      </c>
      <c r="B54" s="161">
        <f>IF(B53="нд","нд",$B53/$B$27*100)</f>
        <v>2.6844761478852361</v>
      </c>
    </row>
    <row r="55" spans="1:2" x14ac:dyDescent="0.25">
      <c r="A55" s="168" t="s">
        <v>316</v>
      </c>
      <c r="B55" s="161">
        <f>IF(VLOOKUP(6,'7. Паспорт отчет о закупке'!$A$27:$CD$86,52,0)="ИП",VLOOKUP(6,'7. Паспорт отчет о закупке'!$A$27:$CD$86,51,0)/1000,"нд")</f>
        <v>0</v>
      </c>
    </row>
    <row r="56" spans="1:2" x14ac:dyDescent="0.25">
      <c r="A56" s="168" t="s">
        <v>437</v>
      </c>
      <c r="B56" s="161">
        <f>IF(VLOOKUP(6,'7. Паспорт отчет о закупке'!$A$27:$CD$86,52,0)="ИП",VLOOKUP(6,'7. Паспорт отчет о закупке'!$A$27:$CD$86,50,0)/1000,"нд")</f>
        <v>0</v>
      </c>
    </row>
    <row r="57" spans="1:2" ht="28.5" x14ac:dyDescent="0.25">
      <c r="A57" s="169" t="s">
        <v>317</v>
      </c>
      <c r="B57" s="171">
        <f>SUM(SUMIF(B58,"&gt;0",B58),SUMIF(B62,"&gt;0",B62),SUMIF(B66,"&gt;0",B66),SUMIF(B70,"&gt;0",B70),SUMIF(B74,"&gt;0",B74))</f>
        <v>74.438520000000011</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f>IF(VLOOKUP(4,'7. Паспорт отчет о закупке'!$A$27:$CD$86,52,0)="ПД",VLOOKUP(4,'7. Паспорт отчет о закупке'!$A$27:$CD$86,30,0)/1000,"нд")</f>
        <v>64.98</v>
      </c>
    </row>
    <row r="71" spans="1:2" x14ac:dyDescent="0.25">
      <c r="A71" s="168" t="s">
        <v>315</v>
      </c>
      <c r="B71" s="161">
        <f>IF(B70="нд","нд",$B70/$B$27*100)</f>
        <v>8.4873325463477389</v>
      </c>
    </row>
    <row r="72" spans="1:2" x14ac:dyDescent="0.25">
      <c r="A72" s="168" t="s">
        <v>316</v>
      </c>
      <c r="B72" s="161">
        <f>IF(VLOOKUP(4,'7. Паспорт отчет о закупке'!$A$27:$CD$86,52,0)="ПД",VLOOKUP(4,'7. Паспорт отчет о закупке'!$A$27:$CD$86,51,0)/1000,"нд")</f>
        <v>63.792000000000002</v>
      </c>
    </row>
    <row r="73" spans="1:2" x14ac:dyDescent="0.25">
      <c r="A73" s="168" t="s">
        <v>437</v>
      </c>
      <c r="B73" s="161">
        <f>IF(VLOOKUP(4,'7. Паспорт отчет о закупке'!$A$27:$CD$86,52,0)="ПД",VLOOKUP(4,'7. Паспорт отчет о закупке'!$A$27:$CD$86,50,0)/1000,"нд")</f>
        <v>53.16</v>
      </c>
    </row>
    <row r="74" spans="1:2" ht="30" x14ac:dyDescent="0.25">
      <c r="A74" s="168" t="s">
        <v>433</v>
      </c>
      <c r="B74" s="161">
        <f>IF(VLOOKUP(5,'7. Паспорт отчет о закупке'!$A$27:$CD$86,52,0)="ПД",VLOOKUP(5,'7. Паспорт отчет о закупке'!$A$27:$CD$86,30,0)/1000,"нд")</f>
        <v>9.45852</v>
      </c>
    </row>
    <row r="75" spans="1:2" x14ac:dyDescent="0.25">
      <c r="A75" s="168" t="s">
        <v>315</v>
      </c>
      <c r="B75" s="161">
        <f>IF(B74="нд","нд",$B74/$B$27*100)</f>
        <v>1.2354202006198987</v>
      </c>
    </row>
    <row r="76" spans="1:2" x14ac:dyDescent="0.25">
      <c r="A76" s="168" t="s">
        <v>316</v>
      </c>
      <c r="B76" s="161">
        <f>IF(VLOOKUP(5,'7. Паспорт отчет о закупке'!$A$27:$CD$86,52,0)="ПД",VLOOKUP(5,'7. Паспорт отчет о закупке'!$A$27:$CD$86,51,0)/1000,"нд")</f>
        <v>3.0798000000000001</v>
      </c>
    </row>
    <row r="77" spans="1:2" x14ac:dyDescent="0.25">
      <c r="A77" s="168" t="s">
        <v>437</v>
      </c>
      <c r="B77" s="161">
        <f>IF(VLOOKUP(5,'7. Паспорт отчет о закупке'!$A$27:$CD$86,52,0)="ПД",VLOOKUP(5,'7. Паспорт отчет о закупке'!$A$27:$CD$86,50,0)/1000,"нд")</f>
        <v>2.5665</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13.805238863965776</v>
      </c>
      <c r="C85" s="194"/>
      <c r="D85" s="195"/>
      <c r="E85" s="194"/>
      <c r="F85" s="194"/>
      <c r="G85" s="194"/>
    </row>
    <row r="86" spans="1:7" x14ac:dyDescent="0.25">
      <c r="A86" s="163" t="s">
        <v>321</v>
      </c>
      <c r="B86" s="166">
        <f>SUMIF('7. Паспорт отчет о закупке'!$BA$27:$BA$86,"ТМЦ",'7. Паспорт отчет о закупке'!$AD$27:$AD$86)/1000/$B$27*100</f>
        <v>24.734200252634515</v>
      </c>
      <c r="C86" s="194"/>
      <c r="D86" s="195"/>
      <c r="E86" s="194"/>
      <c r="F86" s="194"/>
      <c r="G86" s="194"/>
    </row>
    <row r="87" spans="1:7" x14ac:dyDescent="0.25">
      <c r="A87" s="163" t="s">
        <v>322</v>
      </c>
      <c r="B87" s="166">
        <f>SUMIF('7. Паспорт отчет о закупке'!$BA$27:$BA$86,"ПИР",'7. Паспорт отчет о закупке'!$AD$27:$AD$86)/1000/$B$27*100</f>
        <v>2.0984818698489218</v>
      </c>
      <c r="C87" s="194"/>
      <c r="D87" s="195"/>
      <c r="E87" s="194"/>
      <c r="F87" s="194"/>
      <c r="G87" s="194"/>
    </row>
    <row r="88" spans="1:7" ht="30" x14ac:dyDescent="0.25">
      <c r="A88" s="158" t="s">
        <v>439</v>
      </c>
      <c r="B88" s="171">
        <v>6.5241568865851889</v>
      </c>
      <c r="C88" s="194"/>
      <c r="D88" s="194"/>
      <c r="E88" s="194"/>
      <c r="F88" s="194"/>
      <c r="G88" s="194"/>
    </row>
    <row r="89" spans="1:7" x14ac:dyDescent="0.25">
      <c r="A89" s="158" t="s">
        <v>323</v>
      </c>
      <c r="B89" s="171">
        <f>'6.2. Паспорт фин осв ввод'!D24-'6.2. Паспорт фин осв ввод'!E24</f>
        <v>140.2726539866851</v>
      </c>
    </row>
    <row r="90" spans="1:7" x14ac:dyDescent="0.25">
      <c r="A90" s="158" t="s">
        <v>436</v>
      </c>
      <c r="B90" s="171">
        <f>IFERROR(SUM(B91*1.2/$B$27*100),0)</f>
        <v>20.392741256771004</v>
      </c>
    </row>
    <row r="91" spans="1:7" x14ac:dyDescent="0.25">
      <c r="A91" s="158" t="s">
        <v>441</v>
      </c>
      <c r="B91" s="171">
        <f>'6.2. Паспорт фин осв ввод'!D34-'6.2. Паспорт фин осв ввод'!E34</f>
        <v>130.10765550000008</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в части В-241, В-244, В-242 (1,2 ПК), договор № ИП-23-00125 от 18.04.2023
ОБЩЕСТВО С ОГРАНИЧЕННОЙ ОТВЕТСТВЕННОСТЬЮ "ВЕЛЛЭНЕРДЖИ", СМР, Выполнение проектно-изыскательских работ, строительно-монтажных и пусконаладочных работ по проекту "Комплексная реконструкция ПС 220 Чулымская в части реконструкции ОРУ-220, ЗРУ-6 и строительства здания ОПУ-ЗРУ" в части В-243, договор № ИП-23-00128 от 25.04.2023
ОБЩЕСТВО С ОГРАНИЧЕННОЙ ОТВЕТСТВЕННОСТЬЮ "ВЕЛЛЭНЕРДЖИ", ПИР, Выполнение проектно-изыскательских работ по проекту "Комплексная реконструкция ПС 220 Чулымская в части реконструкции ОРУ-220, ЗРУ-6 и строительства здания ОПУ-ЗРУ", договор № ИП-23-00093 от 04.04.2023
ООО "ИЦС", ТМЦ, Поставка выключателей баковых элегазовых ПС 220 кВ Чулымская, договор № ПД-23-00242 от 21.07.2023
 ООО "ЭКРА-СИБИРЬ", ТМЦ, Поставка аппаратуры передачи сигналов, договор № ПД-24-00092 от 02.05.2024
АКЦИОНЕРНОЕ ОБЩЕСТВО "РЕМОНТЭНЕРГОМОНТАЖ И СЕРВИС",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В-244), 1ПК", договор № ИП-24-00136 от 25.06.2024
 ОБЩЕСТВО С ОГРАНИЧЕННОЙ ОТВЕТСТВЕННОСТЬЮ "КОМПАНИЯ ИНЖИНИРИНГ ЭНЕРГОСИСТЕМ", СМР, Выполнение строительно-монтажных работ по проекту "Комплексная реконструкция ПС 220 Чулымская в части реконструкции ОРУ-220, ЗРУ-6 и строительства здания ОПУ-ЗРУ ( В-241), 1ПК", договор № на согласовании
ОБЩЕСТВО С ОГРАНИЧЕННОЙ ОТВЕТСТВЕННОСТЬЮ "ВЕЛЛЭНЕРДЖИ", ТМЦ, Поставка шкафов защит, договор № ПД-23-00317 от 25.10.2023
ОБЩЕСТВО С ОГРАНИЧЕННОЙ ОТВЕТСТВЕННОСТЬЮ "ВЕЛЛЭНЕРДЖИ", ТМЦ, Поставка шкафов РЗА и управления в ОПУ-ЗРУ																										, договор № ПД-24-00261 от 28.10.2024
Общество с ограниченной ответственностью "Группа ЭНЭЛТ", ТМЦ, Поставка щита собственных нужд, договор № ПД-24-00269 от 05.11.2024
ОБЩЕСТВО С ОГРАНИЧЕННОЙ ОТВЕТСТВЕННОСТЬЮ "ПАРТНЕР-ТТ", ТМЦ, Поставка трансформаторов собственных нужд, договор № ПД-24-00257 от 28.10.2024
ОБЩЕСТВО С ОГРАНИЧЕННОЙ ОТВЕТСТВЕННОСТЬЮ "ВЕЛЛЭНЕРДЖИ", ТМЦ, Поставка токопровода комплектного с литой изоляцией		, договор № ПД-24-00276 от 31.10.2024
ОБЩЕСТВО С ОГРАНИЧЕННОЙ ОТВЕТСТВЕННОСТЬЮ "СИСТЕМЫ ПОСТОЯННОГО ТОКА", ТМЦ, Поставка аккумуляторной батареи и ЗВУ для ПС 220 кВ Чулымская, договор № ПД-24-00259 ОТ 28.10.2024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M_00.0020.000020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M_00.0020.000020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576</v>
      </c>
      <c r="C25" s="151" t="s">
        <v>576</v>
      </c>
      <c r="D25" s="151" t="s">
        <v>382</v>
      </c>
      <c r="E25" s="151" t="s">
        <v>582</v>
      </c>
      <c r="F25" s="151" t="s">
        <v>583</v>
      </c>
      <c r="G25" s="151" t="s">
        <v>584</v>
      </c>
      <c r="H25" s="151" t="s">
        <v>584</v>
      </c>
      <c r="I25" s="151">
        <v>1968</v>
      </c>
      <c r="J25" s="151" t="s">
        <v>425</v>
      </c>
      <c r="K25" s="151">
        <v>1968</v>
      </c>
      <c r="L25" s="151">
        <v>220</v>
      </c>
      <c r="M25" s="151">
        <v>220</v>
      </c>
      <c r="N25" s="151" t="s">
        <v>425</v>
      </c>
      <c r="O25" s="151" t="s">
        <v>425</v>
      </c>
      <c r="P25" s="244">
        <v>2016</v>
      </c>
      <c r="Q25" s="151" t="s">
        <v>585</v>
      </c>
      <c r="R25" s="151" t="s">
        <v>586</v>
      </c>
      <c r="S25" s="151" t="s">
        <v>425</v>
      </c>
      <c r="T25" s="151" t="s">
        <v>425</v>
      </c>
    </row>
    <row r="26" spans="1:20" s="152" customFormat="1" ht="112.5" customHeight="1" x14ac:dyDescent="0.25">
      <c r="A26" s="151">
        <v>2</v>
      </c>
      <c r="B26" s="151" t="s">
        <v>576</v>
      </c>
      <c r="C26" s="151" t="s">
        <v>576</v>
      </c>
      <c r="D26" s="151" t="s">
        <v>382</v>
      </c>
      <c r="E26" s="151" t="s">
        <v>587</v>
      </c>
      <c r="F26" s="151" t="s">
        <v>583</v>
      </c>
      <c r="G26" s="151" t="s">
        <v>588</v>
      </c>
      <c r="H26" s="151" t="s">
        <v>588</v>
      </c>
      <c r="I26" s="151">
        <v>1984</v>
      </c>
      <c r="J26" s="151" t="s">
        <v>425</v>
      </c>
      <c r="K26" s="151">
        <v>1984</v>
      </c>
      <c r="L26" s="151">
        <v>220</v>
      </c>
      <c r="M26" s="151">
        <v>220</v>
      </c>
      <c r="N26" s="151" t="s">
        <v>425</v>
      </c>
      <c r="O26" s="151" t="s">
        <v>425</v>
      </c>
      <c r="P26" s="151">
        <v>2013</v>
      </c>
      <c r="Q26" s="151" t="s">
        <v>585</v>
      </c>
      <c r="R26" s="151" t="s">
        <v>586</v>
      </c>
      <c r="S26" s="151" t="s">
        <v>425</v>
      </c>
      <c r="T26" s="151" t="s">
        <v>425</v>
      </c>
    </row>
    <row r="27" spans="1:20" s="152" customFormat="1" ht="112.5" customHeight="1" x14ac:dyDescent="0.25">
      <c r="A27" s="151">
        <v>3</v>
      </c>
      <c r="B27" s="151" t="s">
        <v>576</v>
      </c>
      <c r="C27" s="151" t="s">
        <v>576</v>
      </c>
      <c r="D27" s="151" t="s">
        <v>382</v>
      </c>
      <c r="E27" s="151" t="s">
        <v>589</v>
      </c>
      <c r="F27" s="151" t="s">
        <v>583</v>
      </c>
      <c r="G27" s="151" t="s">
        <v>590</v>
      </c>
      <c r="H27" s="151" t="s">
        <v>590</v>
      </c>
      <c r="I27" s="151">
        <v>1961</v>
      </c>
      <c r="J27" s="151" t="s">
        <v>425</v>
      </c>
      <c r="K27" s="151">
        <v>1961</v>
      </c>
      <c r="L27" s="151">
        <v>220</v>
      </c>
      <c r="M27" s="151">
        <v>220</v>
      </c>
      <c r="N27" s="151" t="s">
        <v>425</v>
      </c>
      <c r="O27" s="151" t="s">
        <v>425</v>
      </c>
      <c r="P27" s="151">
        <v>2015</v>
      </c>
      <c r="Q27" s="151" t="s">
        <v>585</v>
      </c>
      <c r="R27" s="151" t="s">
        <v>586</v>
      </c>
      <c r="S27" s="151" t="s">
        <v>425</v>
      </c>
      <c r="T27" s="151" t="s">
        <v>425</v>
      </c>
    </row>
    <row r="28" spans="1:20" s="152" customFormat="1" ht="112.5" customHeight="1" x14ac:dyDescent="0.25">
      <c r="A28" s="151">
        <v>4</v>
      </c>
      <c r="B28" s="151" t="s">
        <v>576</v>
      </c>
      <c r="C28" s="151" t="s">
        <v>576</v>
      </c>
      <c r="D28" s="151" t="s">
        <v>382</v>
      </c>
      <c r="E28" s="151" t="s">
        <v>591</v>
      </c>
      <c r="F28" s="151" t="s">
        <v>583</v>
      </c>
      <c r="G28" s="151" t="s">
        <v>592</v>
      </c>
      <c r="H28" s="151" t="s">
        <v>592</v>
      </c>
      <c r="I28" s="151">
        <v>1984</v>
      </c>
      <c r="J28" s="151" t="s">
        <v>425</v>
      </c>
      <c r="K28" s="151">
        <v>1984</v>
      </c>
      <c r="L28" s="151">
        <v>220</v>
      </c>
      <c r="M28" s="151">
        <v>220</v>
      </c>
      <c r="N28" s="151" t="s">
        <v>425</v>
      </c>
      <c r="O28" s="151" t="s">
        <v>425</v>
      </c>
      <c r="P28" s="151">
        <v>2010</v>
      </c>
      <c r="Q28" s="151" t="s">
        <v>585</v>
      </c>
      <c r="R28" s="151" t="s">
        <v>586</v>
      </c>
      <c r="S28" s="151" t="s">
        <v>425</v>
      </c>
      <c r="T28" s="151" t="s">
        <v>425</v>
      </c>
    </row>
    <row r="29" spans="1:20" s="152" customFormat="1" ht="112.5" customHeight="1" x14ac:dyDescent="0.25">
      <c r="A29" s="151">
        <v>5</v>
      </c>
      <c r="B29" s="151" t="s">
        <v>576</v>
      </c>
      <c r="C29" s="151" t="s">
        <v>576</v>
      </c>
      <c r="D29" s="151" t="s">
        <v>593</v>
      </c>
      <c r="E29" s="151" t="s">
        <v>594</v>
      </c>
      <c r="F29" s="151" t="s">
        <v>425</v>
      </c>
      <c r="G29" s="151" t="s">
        <v>593</v>
      </c>
      <c r="H29" s="151" t="s">
        <v>425</v>
      </c>
      <c r="I29" s="151">
        <v>1964</v>
      </c>
      <c r="J29" s="151" t="s">
        <v>425</v>
      </c>
      <c r="K29" s="151">
        <v>1964</v>
      </c>
      <c r="L29" s="151">
        <v>6</v>
      </c>
      <c r="M29" s="151">
        <v>6</v>
      </c>
      <c r="N29" s="151" t="s">
        <v>425</v>
      </c>
      <c r="O29" s="151" t="s">
        <v>425</v>
      </c>
      <c r="P29" s="151">
        <v>2020</v>
      </c>
      <c r="Q29" s="151" t="s">
        <v>585</v>
      </c>
      <c r="R29" s="151" t="s">
        <v>586</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M_00.0020.000020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576</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577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M_00.0020.000020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M_00.0020.000020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M_00.0020.000020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62.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M_00.0020.000020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ht="31.5" x14ac:dyDescent="0.25">
      <c r="A25" s="252">
        <v>1</v>
      </c>
      <c r="B25" s="254" t="s">
        <v>453</v>
      </c>
      <c r="C25" s="255">
        <v>44927</v>
      </c>
      <c r="D25" s="255">
        <v>45251</v>
      </c>
      <c r="E25" s="255">
        <v>45000</v>
      </c>
      <c r="F25" s="255" t="e">
        <v>#VALUE!</v>
      </c>
      <c r="G25" s="256">
        <v>0.96666666666666667</v>
      </c>
      <c r="H25" s="256">
        <v>0.96666666666666667</v>
      </c>
      <c r="I25" s="252" t="s">
        <v>631</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44956</v>
      </c>
      <c r="D31" s="255">
        <v>45041</v>
      </c>
      <c r="E31" s="255">
        <v>45000</v>
      </c>
      <c r="F31" s="255">
        <v>45041</v>
      </c>
      <c r="G31" s="260">
        <v>1</v>
      </c>
      <c r="H31" s="260">
        <v>1</v>
      </c>
      <c r="I31" s="257">
        <v>0</v>
      </c>
      <c r="J31" s="257" t="s">
        <v>425</v>
      </c>
    </row>
    <row r="32" spans="1:12" x14ac:dyDescent="0.25">
      <c r="A32" s="257" t="s">
        <v>466</v>
      </c>
      <c r="B32" s="258" t="s">
        <v>467</v>
      </c>
      <c r="C32" s="255">
        <v>45290</v>
      </c>
      <c r="D32" s="255">
        <v>45221</v>
      </c>
      <c r="E32" s="255" t="s">
        <v>425</v>
      </c>
      <c r="F32" s="255">
        <v>45595</v>
      </c>
      <c r="G32" s="260" t="s">
        <v>627</v>
      </c>
      <c r="H32" s="260" t="s">
        <v>627</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45320</v>
      </c>
      <c r="D35" s="255">
        <v>45251</v>
      </c>
      <c r="E35" s="255" t="s">
        <v>425</v>
      </c>
      <c r="F35" s="255" t="s">
        <v>425</v>
      </c>
      <c r="G35" s="260" t="s">
        <v>425</v>
      </c>
      <c r="H35" s="260" t="s">
        <v>425</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ht="47.25" x14ac:dyDescent="0.25">
      <c r="A37" s="257" t="s">
        <v>476</v>
      </c>
      <c r="B37" s="258" t="s">
        <v>477</v>
      </c>
      <c r="C37" s="255">
        <v>44927</v>
      </c>
      <c r="D37" s="255">
        <v>45221</v>
      </c>
      <c r="E37" s="255" t="s">
        <v>425</v>
      </c>
      <c r="F37" s="255">
        <v>45595</v>
      </c>
      <c r="G37" s="260" t="s">
        <v>628</v>
      </c>
      <c r="H37" s="260" t="s">
        <v>628</v>
      </c>
      <c r="I37" s="257" t="s">
        <v>632</v>
      </c>
      <c r="J37" s="257" t="s">
        <v>425</v>
      </c>
    </row>
    <row r="38" spans="1:10" ht="31.5" x14ac:dyDescent="0.25">
      <c r="A38" s="252">
        <v>2</v>
      </c>
      <c r="B38" s="254" t="s">
        <v>503</v>
      </c>
      <c r="C38" s="255" t="s">
        <v>425</v>
      </c>
      <c r="D38" s="255" t="s">
        <v>425</v>
      </c>
      <c r="E38" s="255" t="s">
        <v>425</v>
      </c>
      <c r="F38" s="255" t="s">
        <v>425</v>
      </c>
      <c r="G38" s="261">
        <v>0.4</v>
      </c>
      <c r="H38" s="261">
        <v>1</v>
      </c>
      <c r="I38" s="252" t="s">
        <v>631</v>
      </c>
      <c r="J38" s="252" t="s">
        <v>425</v>
      </c>
    </row>
    <row r="39" spans="1:10" ht="31.5" x14ac:dyDescent="0.25">
      <c r="A39" s="262" t="s">
        <v>478</v>
      </c>
      <c r="B39" s="258" t="s">
        <v>479</v>
      </c>
      <c r="C39" s="255">
        <v>45002</v>
      </c>
      <c r="D39" s="255">
        <v>45221</v>
      </c>
      <c r="E39" s="255">
        <v>45022</v>
      </c>
      <c r="F39" s="255">
        <v>46113</v>
      </c>
      <c r="G39" s="263" t="s">
        <v>629</v>
      </c>
      <c r="H39" s="263" t="s">
        <v>627</v>
      </c>
      <c r="I39" s="257">
        <v>0</v>
      </c>
      <c r="J39" s="257" t="s">
        <v>425</v>
      </c>
    </row>
    <row r="40" spans="1:10" x14ac:dyDescent="0.25">
      <c r="A40" s="262" t="s">
        <v>480</v>
      </c>
      <c r="B40" s="258" t="s">
        <v>481</v>
      </c>
      <c r="C40" s="255">
        <v>45032</v>
      </c>
      <c r="D40" s="255">
        <v>45251</v>
      </c>
      <c r="E40" s="255">
        <v>45000</v>
      </c>
      <c r="F40" s="255">
        <v>46325</v>
      </c>
      <c r="G40" s="263" t="s">
        <v>629</v>
      </c>
      <c r="H40" s="263" t="s">
        <v>627</v>
      </c>
      <c r="I40" s="257">
        <v>0</v>
      </c>
      <c r="J40" s="257" t="s">
        <v>425</v>
      </c>
    </row>
    <row r="41" spans="1:10" x14ac:dyDescent="0.25">
      <c r="A41" s="252">
        <v>3</v>
      </c>
      <c r="B41" s="254" t="s">
        <v>482</v>
      </c>
      <c r="C41" s="255">
        <v>45063</v>
      </c>
      <c r="D41" s="255">
        <v>46323</v>
      </c>
      <c r="E41" s="255">
        <v>45288</v>
      </c>
      <c r="F41" s="255">
        <v>46380</v>
      </c>
      <c r="G41" s="261">
        <v>0.21250000000000002</v>
      </c>
      <c r="H41" s="261" t="s">
        <v>425</v>
      </c>
      <c r="I41" s="252">
        <v>0</v>
      </c>
      <c r="J41" s="252" t="s">
        <v>425</v>
      </c>
    </row>
    <row r="42" spans="1:10" ht="78.75" x14ac:dyDescent="0.25">
      <c r="A42" s="257" t="s">
        <v>483</v>
      </c>
      <c r="B42" s="258" t="s">
        <v>484</v>
      </c>
      <c r="C42" s="255">
        <v>45093</v>
      </c>
      <c r="D42" s="255">
        <v>46142</v>
      </c>
      <c r="E42" s="255">
        <v>45388</v>
      </c>
      <c r="F42" s="255">
        <v>46233</v>
      </c>
      <c r="G42" s="263" t="s">
        <v>630</v>
      </c>
      <c r="H42" s="263" t="s">
        <v>425</v>
      </c>
      <c r="I42" s="257" t="s">
        <v>633</v>
      </c>
      <c r="J42" s="257" t="s">
        <v>425</v>
      </c>
    </row>
    <row r="43" spans="1:10" x14ac:dyDescent="0.25">
      <c r="A43" s="257" t="s">
        <v>485</v>
      </c>
      <c r="B43" s="258" t="s">
        <v>486</v>
      </c>
      <c r="C43" s="255">
        <v>45063</v>
      </c>
      <c r="D43" s="255">
        <v>46142</v>
      </c>
      <c r="E43" s="255">
        <v>45288</v>
      </c>
      <c r="F43" s="255">
        <v>46293</v>
      </c>
      <c r="G43" s="263" t="s">
        <v>629</v>
      </c>
      <c r="H43" s="263" t="s">
        <v>425</v>
      </c>
      <c r="I43" s="257">
        <v>0</v>
      </c>
      <c r="J43" s="257" t="s">
        <v>425</v>
      </c>
    </row>
    <row r="44" spans="1:10" ht="63" x14ac:dyDescent="0.25">
      <c r="A44" s="257" t="s">
        <v>487</v>
      </c>
      <c r="B44" s="258" t="s">
        <v>488</v>
      </c>
      <c r="C44" s="255">
        <v>45123</v>
      </c>
      <c r="D44" s="255">
        <v>46293</v>
      </c>
      <c r="E44" s="255">
        <v>45388</v>
      </c>
      <c r="F44" s="255">
        <v>46325</v>
      </c>
      <c r="G44" s="263" t="s">
        <v>630</v>
      </c>
      <c r="H44" s="263" t="s">
        <v>425</v>
      </c>
      <c r="I44" s="257" t="s">
        <v>634</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ht="63" x14ac:dyDescent="0.25">
      <c r="A47" s="257" t="s">
        <v>493</v>
      </c>
      <c r="B47" s="258" t="s">
        <v>494</v>
      </c>
      <c r="C47" s="255">
        <v>45197</v>
      </c>
      <c r="D47" s="255">
        <v>46323</v>
      </c>
      <c r="E47" s="255">
        <v>45388</v>
      </c>
      <c r="F47" s="255">
        <v>46380</v>
      </c>
      <c r="G47" s="263" t="s">
        <v>630</v>
      </c>
      <c r="H47" s="263" t="s">
        <v>425</v>
      </c>
      <c r="I47" s="257" t="s">
        <v>634</v>
      </c>
      <c r="J47" s="257" t="s">
        <v>425</v>
      </c>
    </row>
    <row r="48" spans="1:10" x14ac:dyDescent="0.25">
      <c r="A48" s="252">
        <v>4</v>
      </c>
      <c r="B48" s="254" t="s">
        <v>495</v>
      </c>
      <c r="C48" s="255">
        <v>45198</v>
      </c>
      <c r="D48" s="255">
        <v>46386</v>
      </c>
      <c r="E48" s="255" t="e">
        <v>#VALUE!</v>
      </c>
      <c r="F48" s="255">
        <v>46386</v>
      </c>
      <c r="G48" s="261" t="s">
        <v>425</v>
      </c>
      <c r="H48" s="261" t="s">
        <v>425</v>
      </c>
      <c r="I48" s="252">
        <v>0</v>
      </c>
      <c r="J48" s="252" t="s">
        <v>425</v>
      </c>
    </row>
    <row r="49" spans="1:10" x14ac:dyDescent="0.25">
      <c r="A49" s="257" t="s">
        <v>496</v>
      </c>
      <c r="B49" s="258" t="s">
        <v>497</v>
      </c>
      <c r="C49" s="255">
        <v>45198</v>
      </c>
      <c r="D49" s="255">
        <v>46327</v>
      </c>
      <c r="E49" s="255" t="s">
        <v>425</v>
      </c>
      <c r="F49" s="255">
        <v>46381</v>
      </c>
      <c r="G49" s="263" t="s">
        <v>425</v>
      </c>
      <c r="H49" s="263" t="s">
        <v>425</v>
      </c>
      <c r="I49" s="257">
        <v>0</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t="s">
        <v>425</v>
      </c>
      <c r="D51" s="255" t="s">
        <v>425</v>
      </c>
      <c r="E51" s="255" t="s">
        <v>425</v>
      </c>
      <c r="F51" s="255" t="s">
        <v>425</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45243</v>
      </c>
      <c r="D53" s="255">
        <v>46386</v>
      </c>
      <c r="E53" s="255" t="e">
        <v>#VALUE!</v>
      </c>
      <c r="F53" s="255">
        <v>46386</v>
      </c>
      <c r="G53" s="263" t="s">
        <v>425</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2024-11-14T09:38:10Z</dcterms:modified>
</cp:coreProperties>
</file>