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9F80B83B-D2B4-4415-B57C-3DF1C57931C0}" xr6:coauthVersionLast="47" xr6:coauthVersionMax="47" xr10:uidLastSave="{00000000-0000-0000-0000-000000000000}"/>
  <bookViews>
    <workbookView xWindow="30555" yWindow="555"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4" i="5" l="1"/>
  <c r="C34" i="5"/>
  <c r="D34" i="5"/>
  <c r="E34" i="5"/>
  <c r="F34" i="5"/>
  <c r="G34" i="5"/>
  <c r="H34" i="5"/>
  <c r="I34" i="5"/>
  <c r="J34" i="5"/>
  <c r="K34" i="5"/>
  <c r="L34" i="5"/>
  <c r="AE34" i="5"/>
  <c r="BD34" i="5"/>
  <c r="F32" i="15"/>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70" i="5"/>
  <c r="AE39" i="5"/>
  <c r="AE37" i="5"/>
  <c r="AE51" i="5"/>
  <c r="AE27" i="5"/>
  <c r="AE74" i="5"/>
  <c r="AE84" i="5"/>
  <c r="AE46" i="5"/>
  <c r="AE38" i="5"/>
  <c r="AE44" i="5"/>
  <c r="AE36" i="5"/>
  <c r="AE41" i="5"/>
  <c r="AE29" i="5"/>
  <c r="AE42" i="5"/>
  <c r="AE55" i="5"/>
  <c r="AE60" i="5"/>
  <c r="AE75" i="5"/>
  <c r="AE79" i="5"/>
  <c r="AE30" i="5"/>
  <c r="AE54" i="5"/>
  <c r="AE52"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<sst xmlns="http://schemas.openxmlformats.org/spreadsheetml/2006/main" count="4376" uniqueCount="593">
  <si>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</si>
  <si>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</si>
  <si>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</si>
  <si>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</si>
  <si>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</si>
  <si>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</si>
  <si>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</si>
  <si>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</si>
  <si>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</si>
  <si>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</si>
  <si>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</si>
  <si>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</si>
  <si>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</si>
  <si>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</si>
  <si>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</si>
  <si>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</si>
  <si>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</si>
  <si>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</si>
  <si>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</si>
  <si>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</si>
  <si>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</si>
  <si>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</si>
  <si>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</si>
  <si>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</si>
  <si>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</si>
  <si>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</si>
  <si>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</si>
  <si>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</si>
  <si>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</si>
  <si>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</si>
  <si>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</si>
  <si>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</si>
  <si>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</si>
  <si>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</si>
  <si>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</si>
  <si>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</si>
  <si>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</si>
  <si>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</si>
  <si>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</si>
  <si>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</si>
  <si>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</si>
  <si>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</si>
  <si>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</si>
  <si>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</si>
  <si>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</si>
  <si>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</si>
  <si>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</si>
  <si>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</si>
  <si>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</si>
  <si>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</si>
  <si>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</si>
  <si>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</si>
  <si>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</si>
  <si>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</si>
  <si>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</si>
  <si>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</si>
  <si>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</si>
  <si>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</si>
  <si>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</si>
  <si>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</si>
  <si>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</si>
  <si>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</si>
  <si>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</si>
  <si>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</si>
  <si>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</si>
  <si>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</si>
  <si>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</si>
  <si>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</si>
  <si>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</si>
  <si>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</si>
  <si>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</si>
  <si>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</si>
  <si>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</si>
  <si>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</si>
  <si>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</si>
  <si>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</si>
  <si>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</si>
  <si>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</si>
  <si>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</si>
  <si>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</si>
  <si>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</si>
  <si>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</si>
  <si>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</si>
  <si>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</si>
  <si>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</si>
  <si>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</si>
  <si>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</si>
  <si>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</si>
  <si>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</si>
  <si>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</si>
  <si>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</si>
  <si>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</si>
  <si>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</si>
  <si>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</si>
  <si>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</si>
  <si>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</si>
  <si>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</si>
  <si>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</si>
  <si>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</si>
  <si>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</si>
  <si>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</si>
  <si>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</si>
  <si>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</si>
  <si>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</si>
  <si>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</si>
  <si>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</si>
  <si>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</si>
  <si>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</si>
  <si>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</si>
  <si>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</si>
  <si>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</si>
  <si>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</si>
  <si>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</si>
  <si>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</si>
  <si>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</si>
  <si>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</si>
  <si>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</si>
  <si>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</si>
  <si>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</si>
  <si>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</si>
  <si>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</si>
  <si>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</si>
  <si>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</si>
  <si>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</si>
  <si>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</si>
  <si>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</si>
  <si>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</si>
  <si>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</si>
  <si>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</si>
  <si>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</si>
  <si>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</si>
  <si>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</si>
  <si>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</si>
  <si>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</si>
  <si>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</si>
  <si>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</si>
  <si>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</si>
  <si>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</si>
  <si>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</si>
  <si>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</si>
  <si>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</si>
  <si>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</si>
  <si>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</si>
  <si>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</si>
  <si>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</si>
  <si>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</si>
  <si>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</si>
  <si>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</si>
  <si>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</si>
  <si>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</si>
  <si>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</si>
  <si>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</si>
  <si>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</si>
  <si>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</si>
  <si>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</si>
  <si>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</si>
  <si>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</si>
  <si>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</si>
  <si>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</si>
  <si>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</si>
  <si>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</si>
  <si>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</si>
  <si>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</si>
  <si>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</si>
  <si>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</si>
  <si>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</si>
  <si>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</si>
  <si>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</si>
  <si>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</si>
  <si>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</si>
  <si>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</si>
  <si>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</si>
  <si>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</si>
  <si>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</si>
  <si>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</si>
  <si>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</si>
  <si>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</si>
  <si>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</si>
  <si>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</si>
  <si>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</si>
  <si>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</si>
  <si>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</si>
  <si>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</si>
  <si>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</si>
  <si>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</si>
  <si>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</si>
  <si>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</si>
  <si>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</si>
  <si>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</si>
  <si>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</si>
  <si>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</si>
  <si>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</si>
  <si>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</si>
  <si>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</si>
  <si>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</si>
  <si>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</si>
  <si>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</si>
  <si>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</si>
  <si>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</si>
  <si>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</si>
  <si>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</si>
  <si>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</si>
  <si>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</si>
  <si>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</si>
  <si>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</si>
  <si>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</si>
  <si>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</si>
  <si>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</si>
  <si>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</si>
  <si>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</si>
  <si>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</si>
  <si>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</si>
  <si>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</si>
  <si>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</si>
  <si>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</si>
  <si>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</si>
  <si>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</si>
  <si>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</si>
  <si>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</si>
  <si>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</si>
  <si>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</si>
  <si>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</si>
  <si>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</si>
  <si>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</si>
  <si>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</si>
  <si>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</si>
  <si>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</si>
  <si>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</si>
  <si>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</si>
  <si>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</si>
  <si>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</si>
  <si>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</si>
  <si>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</si>
  <si>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</si>
  <si>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</si>
  <si>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</si>
  <si>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</si>
  <si>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</si>
  <si>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</si>
  <si>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</si>
  <si>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</si>
  <si>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</si>
  <si>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</si>
  <si>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</si>
  <si>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</si>
  <si>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</si>
  <si>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</si>
  <si>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</si>
  <si>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</si>
  <si>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</si>
  <si>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</si>
  <si>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</si>
  <si>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</si>
  <si>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</si>
  <si>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</si>
  <si>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</si>
  <si>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</si>
  <si>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</si>
  <si>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</si>
  <si>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</si>
  <si>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</si>
  <si>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</si>
  <si>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</si>
  <si>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</si>
  <si>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</si>
  <si>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</si>
  <si>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</si>
  <si>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</si>
  <si>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</si>
  <si>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</si>
  <si>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</si>
  <si>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</si>
  <si>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</si>
  <si>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</si>
  <si>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</si>
  <si>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</si>
  <si>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</si>
  <si>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</si>
  <si>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</si>
  <si>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</si>
  <si>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</si>
  <si>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</si>
  <si>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</si>
  <si>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</si>
  <si>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</si>
  <si>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</si>
  <si>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</si>
  <si>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</si>
  <si>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</si>
  <si>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</si>
  <si>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</si>
  <si>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</si>
  <si>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</si>
  <si>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</si>
  <si>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</si>
  <si>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</si>
  <si>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</si>
  <si>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</si>
  <si>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</si>
  <si>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</si>
  <si>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</si>
  <si>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</si>
  <si>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</si>
  <si>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</si>
  <si>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</si>
  <si>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</si>
  <si>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</si>
  <si>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</si>
  <si>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</si>
  <si>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</si>
  <si>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</si>
  <si>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</si>
  <si>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</si>
  <si>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</si>
  <si>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</si>
  <si>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</si>
  <si>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</si>
  <si>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</si>
  <si>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</si>
  <si>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</si>
  <si>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</si>
  <si>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</si>
  <si>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</si>
  <si>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</si>
  <si>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</si>
  <si>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</si>
  <si>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</si>
  <si>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</si>
  <si>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</si>
  <si>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</si>
  <si>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</si>
  <si>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</si>
  <si>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</si>
  <si>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</si>
  <si>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</si>
  <si>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</si>
  <si>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</si>
  <si>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</si>
  <si>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</si>
  <si>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</si>
  <si>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</si>
  <si>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</si>
  <si>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</si>
  <si>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</si>
  <si>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</si>
  <si>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</si>
  <si>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</si>
  <si>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</si>
  <si>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</si>
  <si>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</si>
  <si>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</si>
  <si>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</si>
  <si>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</si>
  <si>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</si>
  <si>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</si>
  <si>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</si>
  <si>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</si>
  <si>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</si>
  <si>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</si>
  <si>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</si>
  <si>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</si>
  <si>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</si>
  <si>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</si>
  <si>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</si>
  <si>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</si>
  <si>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</si>
  <si>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</si>
  <si>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</si>
  <si>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</si>
  <si>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</si>
  <si>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</si>
  <si>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</si>
  <si>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</si>
  <si>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</si>
  <si>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</si>
  <si>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</si>
  <si>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</si>
  <si>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</si>
  <si>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</si>
  <si>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</si>
  <si>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</si>
  <si>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</si>
  <si>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</si>
  <si>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</si>
  <si>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</si>
  <si>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</si>
  <si>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</si>
  <si>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</si>
  <si>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</si>
  <si>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</si>
  <si>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</si>
  <si>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</si>
  <si>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</si>
  <si>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</si>
  <si>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</si>
  <si>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</si>
  <si>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</si>
  <si>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</si>
  <si>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</si>
  <si>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</si>
  <si>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</si>
  <si>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</si>
  <si>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</si>
  <si>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</si>
  <si>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</si>
  <si>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</si>
  <si>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</si>
  <si>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</si>
  <si>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</si>
  <si>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</si>
  <si>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</si>
  <si>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</si>
  <si>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</si>
  <si>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</si>
  <si>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</si>
  <si>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</si>
  <si>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</si>
  <si>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</si>
  <si>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</si>
  <si>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</si>
  <si>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</si>
  <si>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</si>
  <si>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</si>
  <si>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</si>
  <si>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</si>
  <si>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</si>
  <si>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</si>
  <si>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</si>
  <si>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</si>
  <si>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</si>
  <si>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</si>
  <si>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</si>
  <si>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</si>
  <si>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</si>
  <si>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</si>
  <si>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</si>
  <si>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</si>
  <si>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</si>
  <si>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</si>
  <si>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</si>
  <si>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</si>
  <si>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</si>
  <si>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</si>
  <si>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t>
  </si>
  <si>
    <t>Утвержденный план</t>
  </si>
  <si>
    <t>Предложение по корректировке утвержденного плана</t>
  </si>
  <si>
    <t>по состоянию на 01.01.2024 года</t>
  </si>
  <si>
    <t>M_00.0008.000008</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</si>
  <si>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</si>
  <si>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</si>
  <si>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</si>
  <si>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</si>
  <si>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</si>
  <si>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</si>
  <si>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</si>
  <si>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</si>
  <si>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</si>
  <si>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</si>
  <si>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</si>
  <si>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</si>
  <si>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</si>
  <si>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</si>
  <si>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</si>
  <si>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</si>
  <si>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</si>
  <si>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</si>
  <si>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</si>
  <si>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</si>
  <si>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</si>
  <si>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</si>
  <si>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</si>
  <si>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</si>
  <si>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</si>
  <si>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</si>
  <si>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</si>
  <si>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</si>
  <si>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</si>
  <si>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</si>
  <si>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</si>
  <si>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</si>
  <si>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</si>
  <si>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</si>
  <si>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</si>
  <si>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</si>
  <si>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</si>
  <si>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</si>
  <si>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</si>
  <si>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</si>
  <si>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</si>
  <si>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</si>
  <si>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</si>
  <si>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</si>
  <si>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</si>
  <si>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</si>
  <si>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</si>
  <si>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</si>
  <si>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</si>
  <si>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</si>
  <si>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</si>
  <si>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</si>
  <si>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</si>
  <si>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</si>
  <si>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</si>
  <si>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</si>
  <si>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</si>
  <si>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</si>
  <si>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</si>
  <si>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</si>
  <si>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смещением срока реализации проекта на более ранний период</t>
  </si>
  <si>
    <t>СМР, ПНР</t>
  </si>
  <si>
    <t>Выполнение строительно-монтажных и пусконаладочных работ по проекту "Реконструкция ПС 220 кВ Правобережная в части замены ячеек выключателей 220 кВ (3 шт.), с выполнением сопутствующего объема работ (2ПК в части В-236, СВ-220)</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</si>
  <si>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</si>
  <si>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</si>
  <si>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</si>
  <si>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 xml:space="preserve">АКЦИОНЕРНОЕ ОБЩЕСТВО "РЕМОНТЭНЕРГОМОНТАЖ И СЕРВИС"  </t>
  </si>
  <si>
    <t>-</t>
  </si>
  <si>
    <t xml:space="preserve">АКЦИОНЕРНОЕ ОБЩЕСТВО "РЕМОНТЭНЕРГОМОНТАЖ И СЕРВИС" </t>
  </si>
  <si>
    <t>да</t>
  </si>
  <si>
    <t>https://com.roseltorg.ru/</t>
  </si>
  <si>
    <t>ИП</t>
  </si>
  <si>
    <t>СМР</t>
  </si>
  <si>
    <t>ИП-23-00129 от 26.04.2023</t>
  </si>
  <si>
    <t>Выполнение строительно-монтажных и пусконаладочных работ по проекту "Реконструкция ПС 220 кВ Правобережная в части замены ячеек выключателей 220 кВ (3 шт.), с выполнением сопутствующего объема работ</t>
  </si>
  <si>
    <t>АКЦИОНЕРНОЕ ОБЩЕСТВО "РЕМОНТЭНЕРГОМОНТАЖ И СЕРВИС"; Общество  с ограниченной отетсвенностью "ЭКРА-Сибирь"</t>
  </si>
  <si>
    <t>34039,636
34030,000</t>
  </si>
  <si>
    <t xml:space="preserve">   -</t>
  </si>
  <si>
    <t>33859,801</t>
  </si>
  <si>
    <t>АКЦИОНЕРНОЕ ОБЩЕСТВО "РЕМОНТЭНЕРГОМОНТАЖ И СЕРВИС"</t>
  </si>
  <si>
    <t xml:space="preserve"> 
32312070587</t>
  </si>
  <si>
    <t>ИП-23-00077 от 29.03.2023</t>
  </si>
  <si>
    <t>ТМЦ</t>
  </si>
  <si>
    <t>Аукцион в электронной форме</t>
  </si>
  <si>
    <t>ООО "ПМК Холдинг"; Индивидуальный предприниматель Григорьянц Артем Александрович; ООО "Курс"; ИП Гундров С.А.</t>
  </si>
  <si>
    <t>57 000,00; 57 000,00; 14 000,00; 13 566,00</t>
  </si>
  <si>
    <t>Индивидуальный предприниматель Григорьянц Артем Александрович</t>
  </si>
  <si>
    <t>https://www.roseltorg.ru/</t>
  </si>
  <si>
    <t>ПД</t>
  </si>
  <si>
    <t>ПД-19-00155 от 28.06.2019</t>
  </si>
  <si>
    <t>ПИР, СМР, ПНР</t>
  </si>
  <si>
    <t>Проектно-изыскательские, строительно-монтажные и пусконаладочные работы по реконструкции ПС 220 кВ Восточная в части замены ячеек выключателей 110-220 кВ (7 шт.) с выполнением сопутствующего объема работ и реконструкции ПС 220 кВ Правобережная в части замены ячеек выключателей 220 кВ (3 шт.) с выполнением сопутствующего объема работ</t>
  </si>
  <si>
    <t>Конкурентные переговоры в электронной форме</t>
  </si>
  <si>
    <t>ООО "Энергетический Стандарт"; АО "РЭМиС"</t>
  </si>
  <si>
    <t>60647,00; 60647,00</t>
  </si>
  <si>
    <t>ООО "Энергетический Стандарт"</t>
  </si>
  <si>
    <t>АО "РЭМиС"</t>
  </si>
  <si>
    <t>ИП-19-00125 от 03.07.2019</t>
  </si>
  <si>
    <t>Поставка разъединителей 110-220 кВ</t>
  </si>
  <si>
    <t>ООО «ИЦС»</t>
  </si>
  <si>
    <t>Общество с ограниченной ответственностью "Инженерный центр Сибири"</t>
  </si>
  <si>
    <t>ПД-23-00052 от 14.03.2023</t>
  </si>
  <si>
    <t>Выполнение строительно-монтажных и пуско-наладочных работ по проекту  "Реконструкция ПС 220 кВ Правобережная в части замены ячеек выключателей 220 кВ (3 шт.), с выполнением сопутствующего объема работ" в объеме работ по 1 ПК (В-236)</t>
  </si>
  <si>
    <t>АКЦИОНЕРНОЕ ОБЩЕСТВО "РЕМОНТЭНЕРГОМОНТАЖ И СЕРВИС";
ОБЩЕСТВО С ОГРАНИЧЕННОЙ ОТВЕТСТВЕННОСТЬЮ "СЕТИ СКС"</t>
  </si>
  <si>
    <t>4098,58956;
4098,58956</t>
  </si>
  <si>
    <t>4090,00;
4098,58956</t>
  </si>
  <si>
    <t>ИП-22-00096 от 19.04.2022</t>
  </si>
  <si>
    <t>Поставка  выключателей 220кВ</t>
  </si>
  <si>
    <t>ОБЩЕСТВО С ОГРАНИЧЕННОЙ ОТВЕТСТВЕННОСТЬЮ "ОСТЕРОН"</t>
  </si>
  <si>
    <t>ООО "Остерон"</t>
  </si>
  <si>
    <t>ПД-20-00171 от 16.07.2020</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</si>
  <si>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</si>
  <si>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</si>
  <si>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</si>
  <si>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Проектно-сметная документация утвержденная приказами: № 766 от 02.11.2022; 
№ 766/1 от 11.09.2023</t>
  </si>
  <si>
    <t>г. Новосибирск</t>
  </si>
  <si>
    <t>не требуется</t>
  </si>
  <si>
    <t>не относится</t>
  </si>
  <si>
    <t>+</t>
  </si>
  <si>
    <t>17,72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</si>
  <si>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</si>
  <si>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</si>
  <si>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Правобережная</t>
  </si>
  <si>
    <t>61580,45 тыс. руб. с НДС на 1 выключатель 220 кВ</t>
  </si>
  <si>
    <t>1 этап 1-го пускового комплекса - замена ячейки выключателя В-238;
1 этап 2-го пускового комплекса - замена разъединителей, устройств РЗА ячейки выключателяВ-238;
2 этап 1-го пускового комплекса - замена ячейки выключателя СВ-220;
2 этап 2-го пускового комплекса - замена разъединителей, устройств РЗА ячейки выключателя СВ-220;
3 этап 1-го пускового комплекса - замена ячейки выключателя В-236;
3 этап 2-го пускового комплекса - замена разъединителей, устройств РЗА ячейки выключателя В-236.</t>
  </si>
  <si>
    <t>1.Объект включён в инвестиционную программу на основании оценки технического состояния, подтвержденный индексом технического состояния (ИТС:64,6875;51;51)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ПС-7/09-2020 от 31.07.2020.</t>
  </si>
  <si>
    <t>С</t>
  </si>
  <si>
    <t>Сибирский Федеральный округ, Новосибирская область, г. Новосибирск</t>
  </si>
  <si>
    <t xml:space="preserve">У-220-1000-25 </t>
  </si>
  <si>
    <t>Элегазовый выключатель</t>
  </si>
  <si>
    <t>В-236</t>
  </si>
  <si>
    <t xml:space="preserve">Акт № ПС-7/09-2020 от 31.07.2020 технического освидетельствования ПС 220 кВ Правобережная                                   
</t>
  </si>
  <si>
    <t>Оборудование, которое имеет дефекты, его эксплуатация сопряжена с вероятностью технологических нарушений, но допускается к работе при проведении мероприятий в установленный срок</t>
  </si>
  <si>
    <t> ВМТ-220Б/25-1250 УХЛ1</t>
  </si>
  <si>
    <t>В-238</t>
  </si>
  <si>
    <t> 1988</t>
  </si>
  <si>
    <t>СВ-220</t>
  </si>
  <si>
    <t/>
  </si>
  <si>
    <t>1;2;3;4</t>
  </si>
  <si>
    <t>КВЛ по состоянию на 01.10.2024, тыс. руб. без НДС (без ФОТ)</t>
  </si>
  <si>
    <t>ФИН по состоянию на 01.10.2024, тыс. руб. с НДС (без взаимозачетов)</t>
  </si>
  <si>
    <t>100%</t>
  </si>
  <si>
    <t>90%</t>
  </si>
  <si>
    <t>80%</t>
  </si>
  <si>
    <t>План по корректировке ИПР уточнен при утверждении ИПР в 2024 году (Приказ от №181-НПА 09.08.2024)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</si>
</sst>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559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560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563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564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564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564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564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564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565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564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564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564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566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564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3</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1.575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567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18.980891528712519</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M_00.0008.000008</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450</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449</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184.56089087942411</v>
      </c>
      <c r="D24" s="279">
        <f t="shared" si="0"/>
        <v>184.741352877829</v>
      </c>
      <c r="E24" s="284">
        <f t="shared" si="0"/>
        <v>47.903837940791341</v>
      </c>
      <c r="F24" s="284">
        <f t="shared" si="0"/>
        <v>0</v>
      </c>
      <c r="G24" s="267">
        <f t="shared" si="0"/>
        <v>47.903837940791341</v>
      </c>
      <c r="H24" s="267">
        <f t="shared" si="0"/>
        <v>18.980891528712519</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18.980891528712519</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154.42739883692536</v>
      </c>
      <c r="D27" s="279">
        <v>154.6159638095011</v>
      </c>
      <c r="E27" s="285">
        <f>J27+N27+G27+P27+T27+X27</f>
        <v>45.490110579402277</v>
      </c>
      <c r="F27" s="285">
        <f t="shared" si="8"/>
        <v>0</v>
      </c>
      <c r="G27" s="267">
        <v>45.490110579402277</v>
      </c>
      <c r="H27" s="267">
        <f>SUM(H28:H31)</f>
        <v>15.817409607260434</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15.817409607260434</v>
      </c>
      <c r="AC27" s="284">
        <f>J27+N27+R27+V27+Z27</f>
        <v>0</v>
      </c>
    </row>
    <row r="28" spans="1:32" x14ac:dyDescent="0.25">
      <c r="A28" s="58" t="s">
        <v>426</v>
      </c>
      <c r="B28" s="42" t="s">
        <v>168</v>
      </c>
      <c r="C28" s="268" t="s">
        <v>425</v>
      </c>
      <c r="D28" s="281" t="s">
        <v>425</v>
      </c>
      <c r="E28" s="281" t="s">
        <v>425</v>
      </c>
      <c r="F28" s="281" t="s">
        <v>425</v>
      </c>
      <c r="G28" s="266" t="s">
        <v>425</v>
      </c>
      <c r="H28" s="266">
        <v>0</v>
      </c>
      <c r="I28" s="268" t="s">
        <v>585</v>
      </c>
      <c r="J28" s="280">
        <v>0</v>
      </c>
      <c r="K28" s="281" t="s">
        <v>585</v>
      </c>
      <c r="L28" s="266">
        <v>0</v>
      </c>
      <c r="M28" s="268" t="s">
        <v>585</v>
      </c>
      <c r="N28" s="280">
        <v>0</v>
      </c>
      <c r="O28" s="281" t="s">
        <v>585</v>
      </c>
      <c r="P28" s="154">
        <v>0</v>
      </c>
      <c r="Q28" s="154" t="s">
        <v>585</v>
      </c>
      <c r="R28" s="280">
        <v>0</v>
      </c>
      <c r="S28" s="281">
        <v>0</v>
      </c>
      <c r="T28" s="154">
        <v>0</v>
      </c>
      <c r="U28" s="154" t="s">
        <v>585</v>
      </c>
      <c r="V28" s="280">
        <v>0</v>
      </c>
      <c r="W28" s="281">
        <v>0</v>
      </c>
      <c r="X28" s="154">
        <v>0</v>
      </c>
      <c r="Y28" s="154" t="s">
        <v>585</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9.8498598315951149</v>
      </c>
      <c r="I29" s="268" t="s">
        <v>63</v>
      </c>
      <c r="J29" s="280">
        <v>0</v>
      </c>
      <c r="K29" s="281" t="s">
        <v>585</v>
      </c>
      <c r="L29" s="266">
        <v>0</v>
      </c>
      <c r="M29" s="268" t="s">
        <v>585</v>
      </c>
      <c r="N29" s="280">
        <v>0</v>
      </c>
      <c r="O29" s="281" t="s">
        <v>585</v>
      </c>
      <c r="P29" s="154">
        <v>0</v>
      </c>
      <c r="Q29" s="288" t="s">
        <v>585</v>
      </c>
      <c r="R29" s="280">
        <v>0</v>
      </c>
      <c r="S29" s="281">
        <v>0</v>
      </c>
      <c r="T29" s="154">
        <v>0</v>
      </c>
      <c r="U29" s="154" t="s">
        <v>585</v>
      </c>
      <c r="V29" s="280">
        <v>0</v>
      </c>
      <c r="W29" s="281">
        <v>0</v>
      </c>
      <c r="X29" s="154">
        <v>0</v>
      </c>
      <c r="Y29" s="154" t="s">
        <v>585</v>
      </c>
      <c r="Z29" s="280">
        <v>0</v>
      </c>
      <c r="AA29" s="281">
        <v>0</v>
      </c>
      <c r="AB29" s="267">
        <f t="shared" si="17"/>
        <v>9.8498598315951149</v>
      </c>
      <c r="AC29" s="284">
        <f>J29+N29+R29+V29+Z29</f>
        <v>0</v>
      </c>
      <c r="AD29" s="213"/>
      <c r="AE29" s="269"/>
    </row>
    <row r="30" spans="1:32" x14ac:dyDescent="0.25">
      <c r="A30" s="58" t="s">
        <v>428</v>
      </c>
      <c r="B30" s="42" t="s">
        <v>164</v>
      </c>
      <c r="C30" s="268" t="s">
        <v>425</v>
      </c>
      <c r="D30" s="281" t="s">
        <v>425</v>
      </c>
      <c r="E30" s="281" t="s">
        <v>425</v>
      </c>
      <c r="F30" s="281" t="s">
        <v>425</v>
      </c>
      <c r="G30" s="266" t="s">
        <v>425</v>
      </c>
      <c r="H30" s="266">
        <v>3.7911026824226886</v>
      </c>
      <c r="I30" s="268" t="s">
        <v>63</v>
      </c>
      <c r="J30" s="280">
        <v>0</v>
      </c>
      <c r="K30" s="281" t="s">
        <v>585</v>
      </c>
      <c r="L30" s="266">
        <v>0</v>
      </c>
      <c r="M30" s="268" t="s">
        <v>585</v>
      </c>
      <c r="N30" s="280">
        <v>0</v>
      </c>
      <c r="O30" s="281" t="s">
        <v>585</v>
      </c>
      <c r="P30" s="154">
        <v>0</v>
      </c>
      <c r="Q30" s="154" t="s">
        <v>585</v>
      </c>
      <c r="R30" s="280">
        <v>0</v>
      </c>
      <c r="S30" s="281">
        <v>0</v>
      </c>
      <c r="T30" s="154">
        <v>0</v>
      </c>
      <c r="U30" s="154" t="s">
        <v>585</v>
      </c>
      <c r="V30" s="280">
        <v>0</v>
      </c>
      <c r="W30" s="281">
        <v>0</v>
      </c>
      <c r="X30" s="154">
        <v>0</v>
      </c>
      <c r="Y30" s="154" t="s">
        <v>585</v>
      </c>
      <c r="Z30" s="280">
        <v>0</v>
      </c>
      <c r="AA30" s="281">
        <v>0</v>
      </c>
      <c r="AB30" s="267">
        <f t="shared" si="17"/>
        <v>3.7911026824226886</v>
      </c>
      <c r="AC30" s="284">
        <f>J30+N30+R30+V30+Z30</f>
        <v>0</v>
      </c>
      <c r="AD30" s="213"/>
      <c r="AE30" s="269"/>
    </row>
    <row r="31" spans="1:32" x14ac:dyDescent="0.25">
      <c r="A31" s="58" t="s">
        <v>429</v>
      </c>
      <c r="B31" s="42" t="s">
        <v>162</v>
      </c>
      <c r="C31" s="268" t="s">
        <v>425</v>
      </c>
      <c r="D31" s="281" t="s">
        <v>425</v>
      </c>
      <c r="E31" s="281" t="s">
        <v>425</v>
      </c>
      <c r="F31" s="281" t="s">
        <v>425</v>
      </c>
      <c r="G31" s="266" t="s">
        <v>425</v>
      </c>
      <c r="H31" s="266">
        <v>2.1764470932426283</v>
      </c>
      <c r="I31" s="268" t="s">
        <v>63</v>
      </c>
      <c r="J31" s="280">
        <v>0</v>
      </c>
      <c r="K31" s="281" t="s">
        <v>585</v>
      </c>
      <c r="L31" s="266">
        <v>0</v>
      </c>
      <c r="M31" s="268" t="s">
        <v>585</v>
      </c>
      <c r="N31" s="280">
        <v>0</v>
      </c>
      <c r="O31" s="281" t="s">
        <v>585</v>
      </c>
      <c r="P31" s="154">
        <v>0</v>
      </c>
      <c r="Q31" s="154" t="s">
        <v>585</v>
      </c>
      <c r="R31" s="280">
        <v>0</v>
      </c>
      <c r="S31" s="281">
        <v>0</v>
      </c>
      <c r="T31" s="154">
        <v>0</v>
      </c>
      <c r="U31" s="154" t="s">
        <v>585</v>
      </c>
      <c r="V31" s="280">
        <v>0</v>
      </c>
      <c r="W31" s="281">
        <v>0</v>
      </c>
      <c r="X31" s="154">
        <v>0</v>
      </c>
      <c r="Y31" s="154" t="s">
        <v>585</v>
      </c>
      <c r="Z31" s="280">
        <v>0</v>
      </c>
      <c r="AA31" s="281">
        <v>0</v>
      </c>
      <c r="AB31" s="267">
        <f t="shared" si="17"/>
        <v>2.1764470932426283</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30.133492042498752</v>
      </c>
      <c r="D33" s="280">
        <v>30.125389068327902</v>
      </c>
      <c r="E33" s="285">
        <f>J33+N33+G33+P33+T33+X33</f>
        <v>2.4137273613890664</v>
      </c>
      <c r="F33" s="285">
        <f t="shared" ref="F33" si="18">E33-G33</f>
        <v>0</v>
      </c>
      <c r="G33" s="266">
        <v>2.4137273613890664</v>
      </c>
      <c r="H33" s="266">
        <v>3.1634819214520848</v>
      </c>
      <c r="I33" s="266" t="str">
        <f>I31</f>
        <v>1</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3.1634819214520848</v>
      </c>
      <c r="AC33" s="280">
        <f>Z33+N33+J33+R33+V33</f>
        <v>0</v>
      </c>
    </row>
    <row r="34" spans="1:30" ht="47.25" x14ac:dyDescent="0.25">
      <c r="A34" s="60" t="s">
        <v>61</v>
      </c>
      <c r="B34" s="59" t="s">
        <v>170</v>
      </c>
      <c r="C34" s="267">
        <f>SUM(C35:C38)</f>
        <v>154.6454100370604</v>
      </c>
      <c r="D34" s="279">
        <f t="shared" ref="D34:G34" si="19">SUM(D35:D38)</f>
        <v>154.62275982963135</v>
      </c>
      <c r="E34" s="285">
        <f t="shared" ref="E34" si="20">J34+N34+G34+P34+T34+X34</f>
        <v>40.182119859631342</v>
      </c>
      <c r="F34" s="279">
        <f t="shared" si="19"/>
        <v>0</v>
      </c>
      <c r="G34" s="267">
        <f t="shared" si="19"/>
        <v>40.182119859631342</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5.5838769599999996</v>
      </c>
      <c r="D35" s="280">
        <v>5.5838769599999996</v>
      </c>
      <c r="E35" s="285">
        <f>J35+N35+G35+P35+T35+X35</f>
        <v>0</v>
      </c>
      <c r="F35" s="285">
        <f>E35-G35</f>
        <v>0</v>
      </c>
      <c r="G35" s="266">
        <v>0</v>
      </c>
      <c r="H35" s="266">
        <v>0</v>
      </c>
      <c r="I35" s="266">
        <v>0</v>
      </c>
      <c r="J35" s="280">
        <v>0</v>
      </c>
      <c r="K35" s="281">
        <v>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31.77864107440665</v>
      </c>
      <c r="D36" s="280">
        <v>32.066083205207171</v>
      </c>
      <c r="E36" s="285">
        <f>J36+N36+G36+P36+T36+X36</f>
        <v>22.170596685207173</v>
      </c>
      <c r="F36" s="285">
        <f t="shared" ref="F36:F37" si="30">E36-G36</f>
        <v>0</v>
      </c>
      <c r="G36" s="266">
        <v>22.170596685207173</v>
      </c>
      <c r="H36" s="266">
        <v>0</v>
      </c>
      <c r="I36" s="266">
        <v>0</v>
      </c>
      <c r="J36" s="280">
        <v>0</v>
      </c>
      <c r="K36" s="281">
        <v>0</v>
      </c>
      <c r="L36" s="266">
        <v>0</v>
      </c>
      <c r="M36" s="266" t="s">
        <v>59</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104.99418213960934</v>
      </c>
      <c r="D37" s="280">
        <v>104.97827186699091</v>
      </c>
      <c r="E37" s="285">
        <f>J37+N37+G37+P37+T37+X37</f>
        <v>10.645135736990904</v>
      </c>
      <c r="F37" s="285">
        <f t="shared" si="30"/>
        <v>0</v>
      </c>
      <c r="G37" s="266">
        <v>10.645135736990904</v>
      </c>
      <c r="H37" s="266">
        <v>0</v>
      </c>
      <c r="I37" s="266">
        <v>0</v>
      </c>
      <c r="J37" s="280">
        <v>0</v>
      </c>
      <c r="K37" s="281">
        <v>0</v>
      </c>
      <c r="L37" s="266">
        <v>0</v>
      </c>
      <c r="M37" s="266" t="s">
        <v>586</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12.288709863044405</v>
      </c>
      <c r="D38" s="280">
        <v>11.994527797433266</v>
      </c>
      <c r="E38" s="285">
        <f>J38+N38+G38+P38+T38+X38</f>
        <v>7.3663874374332652</v>
      </c>
      <c r="F38" s="285">
        <f>E38-G38</f>
        <v>0</v>
      </c>
      <c r="G38" s="266">
        <v>7.3663874374332652</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23</v>
      </c>
      <c r="D46" s="280">
        <v>23</v>
      </c>
      <c r="E46" s="285">
        <f t="shared" si="31"/>
        <v>20</v>
      </c>
      <c r="F46" s="285">
        <f>E46-G46</f>
        <v>0</v>
      </c>
      <c r="G46" s="266">
        <v>20</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23</v>
      </c>
      <c r="D54" s="280">
        <v>23</v>
      </c>
      <c r="E54" s="285">
        <f t="shared" si="34"/>
        <v>20</v>
      </c>
      <c r="F54" s="285">
        <f t="shared" si="33"/>
        <v>0</v>
      </c>
      <c r="G54" s="266">
        <v>20</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154.64541003706037</v>
      </c>
      <c r="D56" s="280">
        <v>154.62275982963135</v>
      </c>
      <c r="E56" s="285">
        <f t="shared" ref="E56:E61" si="36">J56+N56+G56+P56+T56+X56</f>
        <v>94.060622419631343</v>
      </c>
      <c r="F56" s="280">
        <f t="shared" si="33"/>
        <v>0</v>
      </c>
      <c r="G56" s="266">
        <v>94.060622419631343</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23</v>
      </c>
      <c r="D61" s="280">
        <v>23</v>
      </c>
      <c r="E61" s="285">
        <f t="shared" si="36"/>
        <v>20</v>
      </c>
      <c r="F61" s="285">
        <f t="shared" si="33"/>
        <v>0</v>
      </c>
      <c r="G61" s="266">
        <v>20</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451</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10" zoomScale="80" zoomScaleSheetLayoutView="80" workbookViewId="0">
      <selection activeCell="AX10"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M_00.0008.000008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587</v>
      </c>
      <c r="AY22" s="465" t="s">
        <v>588</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45657</v>
      </c>
      <c r="E26" s="177">
        <v>9</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255405.56</v>
      </c>
      <c r="Q26" s="177" t="s">
        <v>425</v>
      </c>
      <c r="R26" s="179">
        <f>SUM(R27:R86)</f>
        <v>255405.19576</v>
      </c>
      <c r="S26" s="177" t="s">
        <v>425</v>
      </c>
      <c r="T26" s="177" t="s">
        <v>425</v>
      </c>
      <c r="U26" s="177" t="s">
        <v>425</v>
      </c>
      <c r="V26" s="177" t="s">
        <v>425</v>
      </c>
      <c r="W26" s="177" t="s">
        <v>425</v>
      </c>
      <c r="X26" s="177" t="s">
        <v>425</v>
      </c>
      <c r="Y26" s="177" t="s">
        <v>425</v>
      </c>
      <c r="Z26" s="177" t="s">
        <v>425</v>
      </c>
      <c r="AA26" s="177" t="s">
        <v>425</v>
      </c>
      <c r="AB26" s="179">
        <f>SUM(AB27:AB86)</f>
        <v>242067.0845650245</v>
      </c>
      <c r="AC26" s="177" t="s">
        <v>425</v>
      </c>
      <c r="AD26" s="179">
        <f>SUM(AD27:AD86)</f>
        <v>233634.56036319269</v>
      </c>
      <c r="AE26" s="179">
        <f>SUM(AE27:AE86)</f>
        <v>36360.59666399999</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134305.04015000002</v>
      </c>
      <c r="AY26" s="179">
        <f t="shared" si="46"/>
        <v>199567.78988000003</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19450.97</v>
      </c>
      <c r="Q27" s="214" t="s">
        <v>512</v>
      </c>
      <c r="R27" s="215">
        <v>19450.97</v>
      </c>
      <c r="S27" s="214" t="s">
        <v>513</v>
      </c>
      <c r="T27" s="214" t="s">
        <v>513</v>
      </c>
      <c r="U27" s="214">
        <v>3</v>
      </c>
      <c r="V27" s="214">
        <v>1</v>
      </c>
      <c r="W27" s="214" t="s">
        <v>514</v>
      </c>
      <c r="X27" s="214">
        <v>19450.973119999999</v>
      </c>
      <c r="Y27" s="214" t="s">
        <v>515</v>
      </c>
      <c r="Z27" s="214">
        <v>1</v>
      </c>
      <c r="AA27" s="214">
        <v>19450.973119999999</v>
      </c>
      <c r="AB27" s="215">
        <v>19450.973119999999</v>
      </c>
      <c r="AC27" s="214" t="s">
        <v>516</v>
      </c>
      <c r="AD27" s="215">
        <v>23341.167743999998</v>
      </c>
      <c r="AE27" s="291">
        <f>IF(IFERROR(AD27-AY27,"нд")&lt;0,0,IFERROR(AD27-AY27,"нд"))</f>
        <v>19530.199234</v>
      </c>
      <c r="AF27" s="214">
        <v>32312152120</v>
      </c>
      <c r="AG27" s="214" t="s">
        <v>517</v>
      </c>
      <c r="AH27" s="214" t="s">
        <v>518</v>
      </c>
      <c r="AI27" s="216">
        <v>44985</v>
      </c>
      <c r="AJ27" s="216">
        <v>44985</v>
      </c>
      <c r="AK27" s="216">
        <v>45002</v>
      </c>
      <c r="AL27" s="216">
        <v>45022</v>
      </c>
      <c r="AM27" s="214" t="s">
        <v>425</v>
      </c>
      <c r="AN27" s="214" t="s">
        <v>425</v>
      </c>
      <c r="AO27" s="214" t="s">
        <v>425</v>
      </c>
      <c r="AP27" s="214" t="s">
        <v>425</v>
      </c>
      <c r="AQ27" s="216">
        <v>45042</v>
      </c>
      <c r="AR27" s="216">
        <v>45034</v>
      </c>
      <c r="AS27" s="216">
        <v>45042</v>
      </c>
      <c r="AT27" s="216">
        <v>45034</v>
      </c>
      <c r="AU27" s="216">
        <v>45324</v>
      </c>
      <c r="AV27" s="214" t="s">
        <v>425</v>
      </c>
      <c r="AW27" s="214" t="s">
        <v>425</v>
      </c>
      <c r="AX27" s="217">
        <v>4092.90337</v>
      </c>
      <c r="AY27" s="217">
        <v>3810.9685099999997</v>
      </c>
      <c r="AZ27" s="215" t="s">
        <v>519</v>
      </c>
      <c r="BA27" s="215" t="s">
        <v>520</v>
      </c>
      <c r="BB27" s="215" t="s">
        <v>514</v>
      </c>
      <c r="BC27" s="215" t="s">
        <v>521</v>
      </c>
      <c r="BD27" s="215" t="str">
        <f>CONCATENATE(BB27,", ",BA27,", ",N27,", ","договор № ",BC27)</f>
        <v>АКЦИОНЕРНОЕ ОБЩЕСТВО "РЕМОНТЭНЕРГОМОНТАЖ И СЕРВИС"  , СМР, Выполнение строительно-монтажных и пусконаладочных работ по проекту "Реконструкция ПС 220 кВ Правобережная в части замены ячеек выключателей 220 кВ (3 шт.), с выполнением сопутствующего объема работ (2ПК в части В-236, СВ-220), договор № ИП-23-00129 от 26.04.2023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509</v>
      </c>
      <c r="N28" s="214" t="s">
        <v>522</v>
      </c>
      <c r="O28" s="214" t="s">
        <v>511</v>
      </c>
      <c r="P28" s="215">
        <v>34040</v>
      </c>
      <c r="Q28" s="214" t="s">
        <v>512</v>
      </c>
      <c r="R28" s="215">
        <v>34039.636200000001</v>
      </c>
      <c r="S28" s="214" t="s">
        <v>513</v>
      </c>
      <c r="T28" s="214" t="s">
        <v>513</v>
      </c>
      <c r="U28" s="214">
        <v>3</v>
      </c>
      <c r="V28" s="214">
        <v>2</v>
      </c>
      <c r="W28" s="214" t="s">
        <v>523</v>
      </c>
      <c r="X28" s="214" t="s">
        <v>524</v>
      </c>
      <c r="Y28" s="214" t="s">
        <v>525</v>
      </c>
      <c r="Z28" s="214">
        <v>1</v>
      </c>
      <c r="AA28" s="214" t="s">
        <v>526</v>
      </c>
      <c r="AB28" s="215">
        <v>33859.800999999999</v>
      </c>
      <c r="AC28" s="214" t="s">
        <v>527</v>
      </c>
      <c r="AD28" s="215">
        <v>40631.762000000002</v>
      </c>
      <c r="AE28" s="291">
        <f t="shared" ref="AE28:AE86" si="49">IF(IFERROR(AD28-AY28,"нд")&lt;0,0,IFERROR(AD28-AY28,"нд"))</f>
        <v>11533.208200000001</v>
      </c>
      <c r="AF28" s="214" t="s">
        <v>528</v>
      </c>
      <c r="AG28" s="214" t="s">
        <v>517</v>
      </c>
      <c r="AH28" s="214" t="s">
        <v>518</v>
      </c>
      <c r="AI28" s="216">
        <v>44957</v>
      </c>
      <c r="AJ28" s="216">
        <v>44956</v>
      </c>
      <c r="AK28" s="216">
        <v>44972</v>
      </c>
      <c r="AL28" s="216">
        <v>44995</v>
      </c>
      <c r="AM28" s="214" t="s">
        <v>425</v>
      </c>
      <c r="AN28" s="214" t="s">
        <v>425</v>
      </c>
      <c r="AO28" s="214" t="s">
        <v>425</v>
      </c>
      <c r="AP28" s="214" t="s">
        <v>425</v>
      </c>
      <c r="AQ28" s="216">
        <v>45015</v>
      </c>
      <c r="AR28" s="216">
        <v>45014</v>
      </c>
      <c r="AS28" s="216">
        <v>45014</v>
      </c>
      <c r="AT28" s="216">
        <v>45014</v>
      </c>
      <c r="AU28" s="216">
        <v>45231</v>
      </c>
      <c r="AV28" s="214" t="s">
        <v>425</v>
      </c>
      <c r="AW28" s="214" t="s">
        <v>425</v>
      </c>
      <c r="AX28" s="215">
        <v>34049.403109999999</v>
      </c>
      <c r="AY28" s="215">
        <v>29098.553800000002</v>
      </c>
      <c r="AZ28" s="215" t="s">
        <v>519</v>
      </c>
      <c r="BA28" s="215" t="s">
        <v>520</v>
      </c>
      <c r="BB28" s="215" t="s">
        <v>527</v>
      </c>
      <c r="BC28" s="215" t="s">
        <v>529</v>
      </c>
      <c r="BD28" s="215" t="str">
        <f t="shared" ref="BD28:BD86" si="50">CONCATENATE(BB28,", ",BA28,", ",N28,", ","договор № ",BC28)</f>
        <v>АКЦИОНЕРНОЕ ОБЩЕСТВО "РЕМОНТЭНЕРГОМОНТАЖ И СЕРВИС", СМР, Выполнение строительно-монтажных и пусконаладочных работ по проекту "Реконструкция ПС 220 кВ Правобережная в части замены ячеек выключателей 220 кВ (3 шт.), с выполнением сопутствующего объема работ, договор № ИП-23-00077 от 29.03.2023</v>
      </c>
    </row>
    <row r="29" spans="1:56" s="218" customFormat="1" ht="90"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530</v>
      </c>
      <c r="N29" s="214" t="s">
        <v>425</v>
      </c>
      <c r="O29" s="214" t="s">
        <v>425</v>
      </c>
      <c r="P29" s="215">
        <v>43633</v>
      </c>
      <c r="Q29" s="214">
        <v>43644</v>
      </c>
      <c r="R29" s="215">
        <v>43633</v>
      </c>
      <c r="S29" s="214" t="s">
        <v>531</v>
      </c>
      <c r="T29" s="214" t="s">
        <v>531</v>
      </c>
      <c r="U29" s="214">
        <v>7</v>
      </c>
      <c r="V29" s="214">
        <v>4</v>
      </c>
      <c r="W29" s="214" t="s">
        <v>532</v>
      </c>
      <c r="X29" s="214" t="s">
        <v>533</v>
      </c>
      <c r="Y29" s="214" t="s">
        <v>532</v>
      </c>
      <c r="Z29" s="214">
        <v>1</v>
      </c>
      <c r="AA29" s="214">
        <v>56800</v>
      </c>
      <c r="AB29" s="215">
        <v>29824.810445024494</v>
      </c>
      <c r="AC29" s="214" t="s">
        <v>534</v>
      </c>
      <c r="AD29" s="215">
        <v>35789.772534029391</v>
      </c>
      <c r="AE29" s="291">
        <f t="shared" si="49"/>
        <v>0</v>
      </c>
      <c r="AF29" s="214">
        <v>31907809377</v>
      </c>
      <c r="AG29" s="214" t="s">
        <v>517</v>
      </c>
      <c r="AH29" s="214" t="s">
        <v>535</v>
      </c>
      <c r="AI29" s="216">
        <v>43579</v>
      </c>
      <c r="AJ29" s="216">
        <v>43585</v>
      </c>
      <c r="AK29" s="216">
        <v>43592</v>
      </c>
      <c r="AL29" s="216">
        <v>43613</v>
      </c>
      <c r="AM29" s="214" t="s">
        <v>425</v>
      </c>
      <c r="AN29" s="214" t="s">
        <v>425</v>
      </c>
      <c r="AO29" s="214" t="s">
        <v>425</v>
      </c>
      <c r="AP29" s="214" t="s">
        <v>425</v>
      </c>
      <c r="AQ29" s="216">
        <v>43633</v>
      </c>
      <c r="AR29" s="216">
        <v>43644</v>
      </c>
      <c r="AS29" s="216">
        <v>43633</v>
      </c>
      <c r="AT29" s="216">
        <v>43921</v>
      </c>
      <c r="AU29" s="216">
        <v>43913</v>
      </c>
      <c r="AV29" s="214" t="s">
        <v>425</v>
      </c>
      <c r="AW29" s="214" t="s">
        <v>425</v>
      </c>
      <c r="AX29" s="215">
        <v>31398.714</v>
      </c>
      <c r="AY29" s="215">
        <v>37678.4568</v>
      </c>
      <c r="AZ29" s="215" t="s">
        <v>536</v>
      </c>
      <c r="BA29" s="215" t="s">
        <v>530</v>
      </c>
      <c r="BB29" s="215" t="s">
        <v>534</v>
      </c>
      <c r="BC29" s="215" t="s">
        <v>537</v>
      </c>
      <c r="BD29" s="215" t="str">
        <f t="shared" si="50"/>
        <v>Индивидуальный предприниматель Григорьянц Артем Александрович, ТМЦ, нд, договор № ПД-19-00155 от 28.06.2019</v>
      </c>
    </row>
    <row r="30" spans="1:56" s="218" customFormat="1" ht="13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538</v>
      </c>
      <c r="N30" s="214" t="s">
        <v>539</v>
      </c>
      <c r="O30" s="214" t="s">
        <v>511</v>
      </c>
      <c r="P30" s="215">
        <v>60647</v>
      </c>
      <c r="Q30" s="214" t="s">
        <v>512</v>
      </c>
      <c r="R30" s="215">
        <v>60647</v>
      </c>
      <c r="S30" s="214" t="s">
        <v>540</v>
      </c>
      <c r="T30" s="214" t="s">
        <v>540</v>
      </c>
      <c r="U30" s="214">
        <v>3</v>
      </c>
      <c r="V30" s="214">
        <v>2</v>
      </c>
      <c r="W30" s="214" t="s">
        <v>541</v>
      </c>
      <c r="X30" s="214" t="s">
        <v>542</v>
      </c>
      <c r="Y30" s="214" t="s">
        <v>543</v>
      </c>
      <c r="Z30" s="214" t="s">
        <v>425</v>
      </c>
      <c r="AA30" s="214">
        <v>60647</v>
      </c>
      <c r="AB30" s="215">
        <v>60647</v>
      </c>
      <c r="AC30" s="214" t="s">
        <v>544</v>
      </c>
      <c r="AD30" s="215">
        <v>72776.399999999994</v>
      </c>
      <c r="AE30" s="291">
        <f t="shared" si="49"/>
        <v>5297.189229999989</v>
      </c>
      <c r="AF30" s="214">
        <v>31907796060</v>
      </c>
      <c r="AG30" s="214" t="s">
        <v>517</v>
      </c>
      <c r="AH30" s="214" t="s">
        <v>535</v>
      </c>
      <c r="AI30" s="216">
        <v>43585</v>
      </c>
      <c r="AJ30" s="216">
        <v>43580</v>
      </c>
      <c r="AK30" s="216">
        <v>43585</v>
      </c>
      <c r="AL30" s="216">
        <v>43605</v>
      </c>
      <c r="AM30" s="214" t="s">
        <v>425</v>
      </c>
      <c r="AN30" s="214" t="s">
        <v>425</v>
      </c>
      <c r="AO30" s="214" t="s">
        <v>425</v>
      </c>
      <c r="AP30" s="214" t="s">
        <v>425</v>
      </c>
      <c r="AQ30" s="216">
        <v>43625</v>
      </c>
      <c r="AR30" s="216">
        <v>43649</v>
      </c>
      <c r="AS30" s="216">
        <v>43625</v>
      </c>
      <c r="AT30" s="216">
        <v>43649</v>
      </c>
      <c r="AU30" s="216">
        <v>44190</v>
      </c>
      <c r="AV30" s="214" t="s">
        <v>425</v>
      </c>
      <c r="AW30" s="214" t="s">
        <v>425</v>
      </c>
      <c r="AX30" s="215">
        <v>13513.519669999998</v>
      </c>
      <c r="AY30" s="215">
        <v>67479.210770000005</v>
      </c>
      <c r="AZ30" s="215" t="s">
        <v>519</v>
      </c>
      <c r="BA30" s="215" t="s">
        <v>520</v>
      </c>
      <c r="BB30" s="215" t="s">
        <v>544</v>
      </c>
      <c r="BC30" s="215" t="s">
        <v>545</v>
      </c>
      <c r="BD30" s="215" t="str">
        <f t="shared" si="50"/>
        <v>АО "РЭМиС", СМР, Проектно-изыскательские, строительно-монтажные и пусконаладочные работы по реконструкции ПС 220 кВ Восточная в части замены ячеек выключателей 110-220 кВ (7 шт.) с выполнением сопутствующего объема работ и реконструкции ПС 220 кВ Правобережная в части замены ячеек выключателей 220 кВ (3 шт.) с выполнением сопутствующего объема работ, договор № ИП-19-00125 от 03.07.2019</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530</v>
      </c>
      <c r="N31" s="214" t="s">
        <v>546</v>
      </c>
      <c r="O31" s="214" t="s">
        <v>511</v>
      </c>
      <c r="P31" s="215">
        <v>80304.5</v>
      </c>
      <c r="Q31" s="214" t="s">
        <v>512</v>
      </c>
      <c r="R31" s="215">
        <v>80304.5</v>
      </c>
      <c r="S31" s="214" t="s">
        <v>531</v>
      </c>
      <c r="T31" s="214" t="s">
        <v>531</v>
      </c>
      <c r="U31" s="214">
        <v>3</v>
      </c>
      <c r="V31" s="214">
        <v>1</v>
      </c>
      <c r="W31" s="214" t="s">
        <v>547</v>
      </c>
      <c r="X31" s="214">
        <v>79497.5</v>
      </c>
      <c r="Y31" s="214" t="s">
        <v>547</v>
      </c>
      <c r="Z31" s="214" t="s">
        <v>425</v>
      </c>
      <c r="AA31" s="214">
        <v>79497.5</v>
      </c>
      <c r="AB31" s="215">
        <v>79497.5</v>
      </c>
      <c r="AC31" s="214" t="s">
        <v>547</v>
      </c>
      <c r="AD31" s="215">
        <v>38551.058085163335</v>
      </c>
      <c r="AE31" s="291">
        <f t="shared" si="49"/>
        <v>0</v>
      </c>
      <c r="AF31" s="214">
        <v>32312047397</v>
      </c>
      <c r="AG31" s="214" t="s">
        <v>517</v>
      </c>
      <c r="AH31" s="214" t="s">
        <v>518</v>
      </c>
      <c r="AI31" s="216">
        <v>44957</v>
      </c>
      <c r="AJ31" s="216">
        <v>44946</v>
      </c>
      <c r="AK31" s="216">
        <v>44963</v>
      </c>
      <c r="AL31" s="216">
        <v>44979</v>
      </c>
      <c r="AM31" s="214" t="s">
        <v>425</v>
      </c>
      <c r="AN31" s="214" t="s">
        <v>425</v>
      </c>
      <c r="AO31" s="214" t="s">
        <v>425</v>
      </c>
      <c r="AP31" s="214" t="s">
        <v>425</v>
      </c>
      <c r="AQ31" s="216">
        <v>44999</v>
      </c>
      <c r="AR31" s="216">
        <v>44982</v>
      </c>
      <c r="AS31" s="216">
        <v>44999</v>
      </c>
      <c r="AT31" s="216">
        <v>44982</v>
      </c>
      <c r="AU31" s="216">
        <v>45061</v>
      </c>
      <c r="AV31" s="214" t="s">
        <v>425</v>
      </c>
      <c r="AW31" s="214" t="s">
        <v>425</v>
      </c>
      <c r="AX31" s="215">
        <v>32463.5</v>
      </c>
      <c r="AY31" s="215">
        <v>38956.199999999997</v>
      </c>
      <c r="AZ31" s="215" t="s">
        <v>536</v>
      </c>
      <c r="BA31" s="215" t="s">
        <v>530</v>
      </c>
      <c r="BB31" s="215" t="s">
        <v>548</v>
      </c>
      <c r="BC31" s="215" t="s">
        <v>549</v>
      </c>
      <c r="BD31" s="215" t="str">
        <f t="shared" si="50"/>
        <v>Общество с ограниченной ответственностью "Инженерный центр Сибири", ТМЦ, Поставка разъединителей 110-220 кВ, договор № ПД-23-00052 от 14.03.2023</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509</v>
      </c>
      <c r="N32" s="214" t="s">
        <v>550</v>
      </c>
      <c r="O32" s="214" t="s">
        <v>511</v>
      </c>
      <c r="P32" s="215">
        <v>4098.59</v>
      </c>
      <c r="Q32" s="214" t="s">
        <v>512</v>
      </c>
      <c r="R32" s="215">
        <v>4098.5895600000003</v>
      </c>
      <c r="S32" s="214" t="s">
        <v>513</v>
      </c>
      <c r="T32" s="214" t="s">
        <v>513</v>
      </c>
      <c r="U32" s="214">
        <v>3</v>
      </c>
      <c r="V32" s="214">
        <v>2</v>
      </c>
      <c r="W32" s="214" t="s">
        <v>551</v>
      </c>
      <c r="X32" s="214" t="s">
        <v>552</v>
      </c>
      <c r="Y32" s="214" t="s">
        <v>515</v>
      </c>
      <c r="Z32" s="214">
        <v>1</v>
      </c>
      <c r="AA32" s="214" t="s">
        <v>553</v>
      </c>
      <c r="AB32" s="215">
        <v>4090</v>
      </c>
      <c r="AC32" s="214" t="s">
        <v>527</v>
      </c>
      <c r="AD32" s="215">
        <v>4908</v>
      </c>
      <c r="AE32" s="291">
        <f t="shared" si="49"/>
        <v>0</v>
      </c>
      <c r="AF32" s="214">
        <v>32211177560</v>
      </c>
      <c r="AG32" s="214" t="s">
        <v>517</v>
      </c>
      <c r="AH32" s="214" t="s">
        <v>518</v>
      </c>
      <c r="AI32" s="216">
        <v>44620</v>
      </c>
      <c r="AJ32" s="216">
        <v>44620</v>
      </c>
      <c r="AK32" s="216">
        <v>44641</v>
      </c>
      <c r="AL32" s="216">
        <v>44651</v>
      </c>
      <c r="AM32" s="214" t="s">
        <v>425</v>
      </c>
      <c r="AN32" s="214" t="s">
        <v>425</v>
      </c>
      <c r="AO32" s="214" t="s">
        <v>425</v>
      </c>
      <c r="AP32" s="214" t="s">
        <v>425</v>
      </c>
      <c r="AQ32" s="216">
        <v>44671</v>
      </c>
      <c r="AR32" s="216">
        <v>44670</v>
      </c>
      <c r="AS32" s="216">
        <v>44671</v>
      </c>
      <c r="AT32" s="216">
        <v>44670</v>
      </c>
      <c r="AU32" s="216">
        <v>45290</v>
      </c>
      <c r="AV32" s="214" t="s">
        <v>425</v>
      </c>
      <c r="AW32" s="214" t="s">
        <v>425</v>
      </c>
      <c r="AX32" s="215">
        <v>4090</v>
      </c>
      <c r="AY32" s="215">
        <v>4908</v>
      </c>
      <c r="AZ32" s="215" t="s">
        <v>519</v>
      </c>
      <c r="BA32" s="215" t="s">
        <v>520</v>
      </c>
      <c r="BB32" s="215" t="s">
        <v>544</v>
      </c>
      <c r="BC32" s="215" t="s">
        <v>554</v>
      </c>
      <c r="BD32" s="215" t="str">
        <f t="shared" si="50"/>
        <v>АО "РЭМиС", СМР, Выполнение строительно-монтажных и пуско-наладочных работ по проекту  "Реконструкция ПС 220 кВ Правобережная в части замены ячеек выключателей 220 кВ (3 шт.), с выполнением сопутствующего объема работ" в объеме работ по 1 ПК (В-236), договор № ИП-22-00096 от 19.04.2022</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530</v>
      </c>
      <c r="N33" s="214" t="s">
        <v>555</v>
      </c>
      <c r="O33" s="214" t="s">
        <v>511</v>
      </c>
      <c r="P33" s="215">
        <v>13231.5</v>
      </c>
      <c r="Q33" s="214" t="s">
        <v>512</v>
      </c>
      <c r="R33" s="215">
        <v>13231.5</v>
      </c>
      <c r="S33" s="214" t="s">
        <v>540</v>
      </c>
      <c r="T33" s="214" t="s">
        <v>540</v>
      </c>
      <c r="U33" s="214">
        <v>3</v>
      </c>
      <c r="V33" s="214">
        <v>1</v>
      </c>
      <c r="W33" s="214" t="s">
        <v>556</v>
      </c>
      <c r="X33" s="214">
        <v>14800</v>
      </c>
      <c r="Y33" s="214" t="s">
        <v>515</v>
      </c>
      <c r="Z33" s="214">
        <v>1</v>
      </c>
      <c r="AA33" s="214">
        <v>14697</v>
      </c>
      <c r="AB33" s="215">
        <v>14697</v>
      </c>
      <c r="AC33" s="214" t="s">
        <v>556</v>
      </c>
      <c r="AD33" s="215">
        <v>17636.399999999998</v>
      </c>
      <c r="AE33" s="291">
        <f t="shared" si="49"/>
        <v>0</v>
      </c>
      <c r="AF33" s="214">
        <v>32009244883</v>
      </c>
      <c r="AG33" s="214" t="s">
        <v>517</v>
      </c>
      <c r="AH33" s="214" t="s">
        <v>535</v>
      </c>
      <c r="AI33" s="216">
        <v>44012</v>
      </c>
      <c r="AJ33" s="216">
        <v>44007</v>
      </c>
      <c r="AK33" s="216">
        <v>44008</v>
      </c>
      <c r="AL33" s="216">
        <v>44015</v>
      </c>
      <c r="AM33" s="214" t="s">
        <v>425</v>
      </c>
      <c r="AN33" s="214" t="s">
        <v>425</v>
      </c>
      <c r="AO33" s="214" t="s">
        <v>425</v>
      </c>
      <c r="AP33" s="214" t="s">
        <v>425</v>
      </c>
      <c r="AQ33" s="216">
        <v>44035</v>
      </c>
      <c r="AR33" s="216">
        <v>44028</v>
      </c>
      <c r="AS33" s="216">
        <v>44035</v>
      </c>
      <c r="AT33" s="216">
        <v>44180</v>
      </c>
      <c r="AU33" s="216">
        <v>44153</v>
      </c>
      <c r="AV33" s="214" t="s">
        <v>425</v>
      </c>
      <c r="AW33" s="214" t="s">
        <v>425</v>
      </c>
      <c r="AX33" s="215">
        <v>14697</v>
      </c>
      <c r="AY33" s="215">
        <v>17636.400000000001</v>
      </c>
      <c r="AZ33" s="215" t="s">
        <v>536</v>
      </c>
      <c r="BA33" s="215" t="s">
        <v>530</v>
      </c>
      <c r="BB33" s="215" t="s">
        <v>557</v>
      </c>
      <c r="BC33" s="215" t="s">
        <v>558</v>
      </c>
      <c r="BD33" s="215" t="str">
        <f t="shared" si="50"/>
        <v>ООО "Остерон", ТМЦ, Поставка  выключателей 220кВ, договор № ПД-20-00171 от 16.07.2020</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ref="AE34" si="51">IF(IFERROR(AD34-AY34,"нд")&lt;0,0,IFERROR(AD34-AY34,"нд"))</f>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ref="BD34" si="52">CONCATENATE(BB34,", ",BA34,", ",N34,", ","договор № ",BC34)</f>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3">IF($M60&gt;0,"нд","нд")</f>
        <v>нд</v>
      </c>
      <c r="C60" s="214" t="str">
        <f t="shared" si="53"/>
        <v>нд</v>
      </c>
      <c r="D60" s="214" t="str">
        <f t="shared" si="53"/>
        <v>нд</v>
      </c>
      <c r="E60" s="214" t="str">
        <f t="shared" si="53"/>
        <v>нд</v>
      </c>
      <c r="F60" s="214" t="str">
        <f t="shared" si="53"/>
        <v>нд</v>
      </c>
      <c r="G60" s="214" t="str">
        <f t="shared" si="53"/>
        <v>нд</v>
      </c>
      <c r="H60" s="214" t="str">
        <f t="shared" si="53"/>
        <v>нд</v>
      </c>
      <c r="I60" s="214" t="str">
        <f t="shared" si="53"/>
        <v>нд</v>
      </c>
      <c r="J60" s="214" t="str">
        <f t="shared" si="53"/>
        <v>нд</v>
      </c>
      <c r="K60" s="214" t="str">
        <f t="shared" si="53"/>
        <v>нд</v>
      </c>
      <c r="L60" s="214" t="str">
        <f t="shared" si="53"/>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3"/>
        <v>нд</v>
      </c>
      <c r="C61" s="214" t="str">
        <f t="shared" si="53"/>
        <v>нд</v>
      </c>
      <c r="D61" s="214" t="str">
        <f t="shared" si="53"/>
        <v>нд</v>
      </c>
      <c r="E61" s="214" t="str">
        <f t="shared" si="53"/>
        <v>нд</v>
      </c>
      <c r="F61" s="214" t="str">
        <f t="shared" si="53"/>
        <v>нд</v>
      </c>
      <c r="G61" s="214" t="str">
        <f t="shared" si="53"/>
        <v>нд</v>
      </c>
      <c r="H61" s="214" t="str">
        <f t="shared" si="53"/>
        <v>нд</v>
      </c>
      <c r="I61" s="214" t="str">
        <f t="shared" si="53"/>
        <v>нд</v>
      </c>
      <c r="J61" s="214" t="str">
        <f t="shared" si="53"/>
        <v>нд</v>
      </c>
      <c r="K61" s="214" t="str">
        <f t="shared" si="53"/>
        <v>нд</v>
      </c>
      <c r="L61" s="214" t="str">
        <f t="shared" si="53"/>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3"/>
        <v>нд</v>
      </c>
      <c r="C62" s="214" t="str">
        <f t="shared" si="53"/>
        <v>нд</v>
      </c>
      <c r="D62" s="214" t="str">
        <f t="shared" si="53"/>
        <v>нд</v>
      </c>
      <c r="E62" s="214" t="str">
        <f t="shared" si="53"/>
        <v>нд</v>
      </c>
      <c r="F62" s="214" t="str">
        <f t="shared" si="53"/>
        <v>нд</v>
      </c>
      <c r="G62" s="214" t="str">
        <f t="shared" si="53"/>
        <v>нд</v>
      </c>
      <c r="H62" s="214" t="str">
        <f t="shared" si="53"/>
        <v>нд</v>
      </c>
      <c r="I62" s="214" t="str">
        <f t="shared" si="53"/>
        <v>нд</v>
      </c>
      <c r="J62" s="214" t="str">
        <f t="shared" si="53"/>
        <v>нд</v>
      </c>
      <c r="K62" s="214" t="str">
        <f t="shared" si="53"/>
        <v>нд</v>
      </c>
      <c r="L62" s="214" t="str">
        <f t="shared" si="53"/>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3"/>
        <v>нд</v>
      </c>
      <c r="C63" s="214" t="str">
        <f t="shared" si="53"/>
        <v>нд</v>
      </c>
      <c r="D63" s="214" t="str">
        <f t="shared" si="53"/>
        <v>нд</v>
      </c>
      <c r="E63" s="214" t="str">
        <f t="shared" si="53"/>
        <v>нд</v>
      </c>
      <c r="F63" s="214" t="str">
        <f t="shared" si="53"/>
        <v>нд</v>
      </c>
      <c r="G63" s="214" t="str">
        <f t="shared" si="53"/>
        <v>нд</v>
      </c>
      <c r="H63" s="214" t="str">
        <f t="shared" si="53"/>
        <v>нд</v>
      </c>
      <c r="I63" s="214" t="str">
        <f t="shared" si="53"/>
        <v>нд</v>
      </c>
      <c r="J63" s="214" t="str">
        <f t="shared" si="53"/>
        <v>нд</v>
      </c>
      <c r="K63" s="214" t="str">
        <f t="shared" si="53"/>
        <v>нд</v>
      </c>
      <c r="L63" s="214" t="str">
        <f t="shared" si="53"/>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3"/>
        <v>нд</v>
      </c>
      <c r="C64" s="214" t="str">
        <f t="shared" si="53"/>
        <v>нд</v>
      </c>
      <c r="D64" s="214" t="str">
        <f t="shared" si="53"/>
        <v>нд</v>
      </c>
      <c r="E64" s="214" t="str">
        <f t="shared" si="53"/>
        <v>нд</v>
      </c>
      <c r="F64" s="214" t="str">
        <f t="shared" si="53"/>
        <v>нд</v>
      </c>
      <c r="G64" s="214" t="str">
        <f t="shared" si="53"/>
        <v>нд</v>
      </c>
      <c r="H64" s="214" t="str">
        <f t="shared" si="53"/>
        <v>нд</v>
      </c>
      <c r="I64" s="214" t="str">
        <f t="shared" si="53"/>
        <v>нд</v>
      </c>
      <c r="J64" s="214" t="str">
        <f t="shared" si="53"/>
        <v>нд</v>
      </c>
      <c r="K64" s="214" t="str">
        <f t="shared" si="53"/>
        <v>нд</v>
      </c>
      <c r="L64" s="214" t="str">
        <f t="shared" si="53"/>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3"/>
        <v>нд</v>
      </c>
      <c r="C65" s="214" t="str">
        <f t="shared" si="53"/>
        <v>нд</v>
      </c>
      <c r="D65" s="214" t="str">
        <f t="shared" si="53"/>
        <v>нд</v>
      </c>
      <c r="E65" s="214" t="str">
        <f t="shared" si="53"/>
        <v>нд</v>
      </c>
      <c r="F65" s="214" t="str">
        <f t="shared" si="53"/>
        <v>нд</v>
      </c>
      <c r="G65" s="214" t="str">
        <f t="shared" si="53"/>
        <v>нд</v>
      </c>
      <c r="H65" s="214" t="str">
        <f t="shared" si="53"/>
        <v>нд</v>
      </c>
      <c r="I65" s="214" t="str">
        <f t="shared" si="53"/>
        <v>нд</v>
      </c>
      <c r="J65" s="214" t="str">
        <f t="shared" si="53"/>
        <v>нд</v>
      </c>
      <c r="K65" s="214" t="str">
        <f t="shared" si="53"/>
        <v>нд</v>
      </c>
      <c r="L65" s="214" t="str">
        <f t="shared" si="53"/>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3"/>
        <v>нд</v>
      </c>
      <c r="C66" s="214" t="str">
        <f t="shared" si="53"/>
        <v>нд</v>
      </c>
      <c r="D66" s="214" t="str">
        <f t="shared" si="53"/>
        <v>нд</v>
      </c>
      <c r="E66" s="214" t="str">
        <f t="shared" si="53"/>
        <v>нд</v>
      </c>
      <c r="F66" s="214" t="str">
        <f t="shared" si="53"/>
        <v>нд</v>
      </c>
      <c r="G66" s="214" t="str">
        <f t="shared" si="53"/>
        <v>нд</v>
      </c>
      <c r="H66" s="214" t="str">
        <f t="shared" si="53"/>
        <v>нд</v>
      </c>
      <c r="I66" s="214" t="str">
        <f t="shared" si="53"/>
        <v>нд</v>
      </c>
      <c r="J66" s="214" t="str">
        <f t="shared" si="53"/>
        <v>нд</v>
      </c>
      <c r="K66" s="214" t="str">
        <f t="shared" si="53"/>
        <v>нд</v>
      </c>
      <c r="L66" s="214" t="str">
        <f t="shared" si="53"/>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3"/>
        <v>нд</v>
      </c>
      <c r="C67" s="214" t="str">
        <f t="shared" si="53"/>
        <v>нд</v>
      </c>
      <c r="D67" s="214" t="str">
        <f t="shared" si="53"/>
        <v>нд</v>
      </c>
      <c r="E67" s="214" t="str">
        <f t="shared" si="53"/>
        <v>нд</v>
      </c>
      <c r="F67" s="214" t="str">
        <f t="shared" si="53"/>
        <v>нд</v>
      </c>
      <c r="G67" s="214" t="str">
        <f t="shared" si="53"/>
        <v>нд</v>
      </c>
      <c r="H67" s="214" t="str">
        <f t="shared" si="53"/>
        <v>нд</v>
      </c>
      <c r="I67" s="214" t="str">
        <f t="shared" si="53"/>
        <v>нд</v>
      </c>
      <c r="J67" s="214" t="str">
        <f t="shared" si="53"/>
        <v>нд</v>
      </c>
      <c r="K67" s="214" t="str">
        <f t="shared" si="53"/>
        <v>нд</v>
      </c>
      <c r="L67" s="214" t="str">
        <f t="shared" si="53"/>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3"/>
        <v>нд</v>
      </c>
      <c r="C68" s="214" t="str">
        <f t="shared" si="53"/>
        <v>нд</v>
      </c>
      <c r="D68" s="214" t="str">
        <f t="shared" si="53"/>
        <v>нд</v>
      </c>
      <c r="E68" s="214" t="str">
        <f t="shared" si="53"/>
        <v>нд</v>
      </c>
      <c r="F68" s="214" t="str">
        <f t="shared" si="53"/>
        <v>нд</v>
      </c>
      <c r="G68" s="214" t="str">
        <f t="shared" si="53"/>
        <v>нд</v>
      </c>
      <c r="H68" s="214" t="str">
        <f t="shared" si="53"/>
        <v>нд</v>
      </c>
      <c r="I68" s="214" t="str">
        <f t="shared" si="53"/>
        <v>нд</v>
      </c>
      <c r="J68" s="214" t="str">
        <f t="shared" si="53"/>
        <v>нд</v>
      </c>
      <c r="K68" s="214" t="str">
        <f t="shared" si="53"/>
        <v>нд</v>
      </c>
      <c r="L68" s="214" t="str">
        <f t="shared" si="53"/>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3"/>
        <v>нд</v>
      </c>
      <c r="C69" s="214" t="str">
        <f t="shared" si="53"/>
        <v>нд</v>
      </c>
      <c r="D69" s="214" t="str">
        <f t="shared" si="53"/>
        <v>нд</v>
      </c>
      <c r="E69" s="214" t="str">
        <f t="shared" si="53"/>
        <v>нд</v>
      </c>
      <c r="F69" s="214" t="str">
        <f t="shared" si="53"/>
        <v>нд</v>
      </c>
      <c r="G69" s="214" t="str">
        <f t="shared" si="53"/>
        <v>нд</v>
      </c>
      <c r="H69" s="214" t="str">
        <f t="shared" si="53"/>
        <v>нд</v>
      </c>
      <c r="I69" s="214" t="str">
        <f t="shared" si="53"/>
        <v>нд</v>
      </c>
      <c r="J69" s="214" t="str">
        <f t="shared" si="53"/>
        <v>нд</v>
      </c>
      <c r="K69" s="214" t="str">
        <f t="shared" si="53"/>
        <v>нд</v>
      </c>
      <c r="L69" s="214" t="str">
        <f t="shared" si="53"/>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3"/>
        <v>нд</v>
      </c>
      <c r="C70" s="214" t="str">
        <f t="shared" si="53"/>
        <v>нд</v>
      </c>
      <c r="D70" s="214" t="str">
        <f t="shared" si="53"/>
        <v>нд</v>
      </c>
      <c r="E70" s="214" t="str">
        <f t="shared" si="53"/>
        <v>нд</v>
      </c>
      <c r="F70" s="214" t="str">
        <f t="shared" si="53"/>
        <v>нд</v>
      </c>
      <c r="G70" s="214" t="str">
        <f t="shared" si="53"/>
        <v>нд</v>
      </c>
      <c r="H70" s="214" t="str">
        <f t="shared" si="53"/>
        <v>нд</v>
      </c>
      <c r="I70" s="214" t="str">
        <f t="shared" si="53"/>
        <v>нд</v>
      </c>
      <c r="J70" s="214" t="str">
        <f t="shared" si="53"/>
        <v>нд</v>
      </c>
      <c r="K70" s="214" t="str">
        <f t="shared" si="53"/>
        <v>нд</v>
      </c>
      <c r="L70" s="214" t="str">
        <f t="shared" si="53"/>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3"/>
        <v>нд</v>
      </c>
      <c r="C71" s="214" t="str">
        <f t="shared" si="53"/>
        <v>нд</v>
      </c>
      <c r="D71" s="214" t="str">
        <f t="shared" si="53"/>
        <v>нд</v>
      </c>
      <c r="E71" s="214" t="str">
        <f t="shared" si="53"/>
        <v>нд</v>
      </c>
      <c r="F71" s="214" t="str">
        <f t="shared" si="53"/>
        <v>нд</v>
      </c>
      <c r="G71" s="214" t="str">
        <f t="shared" si="53"/>
        <v>нд</v>
      </c>
      <c r="H71" s="214" t="str">
        <f t="shared" si="53"/>
        <v>нд</v>
      </c>
      <c r="I71" s="214" t="str">
        <f t="shared" si="53"/>
        <v>нд</v>
      </c>
      <c r="J71" s="214" t="str">
        <f t="shared" si="53"/>
        <v>нд</v>
      </c>
      <c r="K71" s="214" t="str">
        <f t="shared" si="53"/>
        <v>нд</v>
      </c>
      <c r="L71" s="214" t="str">
        <f t="shared" si="53"/>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3"/>
        <v>нд</v>
      </c>
      <c r="C72" s="214" t="str">
        <f t="shared" si="53"/>
        <v>нд</v>
      </c>
      <c r="D72" s="214" t="str">
        <f t="shared" si="53"/>
        <v>нд</v>
      </c>
      <c r="E72" s="214" t="str">
        <f t="shared" si="53"/>
        <v>нд</v>
      </c>
      <c r="F72" s="214" t="str">
        <f t="shared" si="53"/>
        <v>нд</v>
      </c>
      <c r="G72" s="214" t="str">
        <f t="shared" si="53"/>
        <v>нд</v>
      </c>
      <c r="H72" s="214" t="str">
        <f t="shared" si="53"/>
        <v>нд</v>
      </c>
      <c r="I72" s="214" t="str">
        <f t="shared" si="53"/>
        <v>нд</v>
      </c>
      <c r="J72" s="214" t="str">
        <f t="shared" si="53"/>
        <v>нд</v>
      </c>
      <c r="K72" s="214" t="str">
        <f t="shared" si="53"/>
        <v>нд</v>
      </c>
      <c r="L72" s="214" t="str">
        <f t="shared" si="53"/>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3"/>
        <v>нд</v>
      </c>
      <c r="C73" s="214" t="str">
        <f t="shared" si="53"/>
        <v>нд</v>
      </c>
      <c r="D73" s="214" t="str">
        <f t="shared" si="53"/>
        <v>нд</v>
      </c>
      <c r="E73" s="214" t="str">
        <f t="shared" si="53"/>
        <v>нд</v>
      </c>
      <c r="F73" s="214" t="str">
        <f t="shared" si="53"/>
        <v>нд</v>
      </c>
      <c r="G73" s="214" t="str">
        <f t="shared" si="53"/>
        <v>нд</v>
      </c>
      <c r="H73" s="214" t="str">
        <f t="shared" si="53"/>
        <v>нд</v>
      </c>
      <c r="I73" s="214" t="str">
        <f t="shared" si="53"/>
        <v>нд</v>
      </c>
      <c r="J73" s="214" t="str">
        <f t="shared" si="53"/>
        <v>нд</v>
      </c>
      <c r="K73" s="214" t="str">
        <f t="shared" si="53"/>
        <v>нд</v>
      </c>
      <c r="L73" s="214" t="str">
        <f t="shared" si="53"/>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3"/>
        <v>нд</v>
      </c>
      <c r="C74" s="214" t="str">
        <f t="shared" si="53"/>
        <v>нд</v>
      </c>
      <c r="D74" s="214" t="str">
        <f t="shared" si="53"/>
        <v>нд</v>
      </c>
      <c r="E74" s="214" t="str">
        <f t="shared" si="53"/>
        <v>нд</v>
      </c>
      <c r="F74" s="214" t="str">
        <f t="shared" si="53"/>
        <v>нд</v>
      </c>
      <c r="G74" s="214" t="str">
        <f t="shared" si="53"/>
        <v>нд</v>
      </c>
      <c r="H74" s="214" t="str">
        <f t="shared" si="53"/>
        <v>нд</v>
      </c>
      <c r="I74" s="214" t="str">
        <f t="shared" si="53"/>
        <v>нд</v>
      </c>
      <c r="J74" s="214" t="str">
        <f t="shared" si="53"/>
        <v>нд</v>
      </c>
      <c r="K74" s="214" t="str">
        <f t="shared" si="53"/>
        <v>нд</v>
      </c>
      <c r="L74" s="214" t="str">
        <f t="shared" si="53"/>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3"/>
        <v>нд</v>
      </c>
      <c r="C75" s="214" t="str">
        <f t="shared" si="53"/>
        <v>нд</v>
      </c>
      <c r="D75" s="214" t="str">
        <f t="shared" si="53"/>
        <v>нд</v>
      </c>
      <c r="E75" s="214" t="str">
        <f t="shared" si="53"/>
        <v>нд</v>
      </c>
      <c r="F75" s="214" t="str">
        <f t="shared" si="53"/>
        <v>нд</v>
      </c>
      <c r="G75" s="214" t="str">
        <f t="shared" si="53"/>
        <v>нд</v>
      </c>
      <c r="H75" s="214" t="str">
        <f t="shared" si="53"/>
        <v>нд</v>
      </c>
      <c r="I75" s="214" t="str">
        <f t="shared" si="53"/>
        <v>нд</v>
      </c>
      <c r="J75" s="214" t="str">
        <f t="shared" si="53"/>
        <v>нд</v>
      </c>
      <c r="K75" s="214" t="str">
        <f t="shared" si="53"/>
        <v>нд</v>
      </c>
      <c r="L75" s="214" t="str">
        <f t="shared" si="53"/>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3"/>
        <v>нд</v>
      </c>
      <c r="C76" s="214" t="str">
        <f t="shared" si="53"/>
        <v>нд</v>
      </c>
      <c r="D76" s="214" t="str">
        <f t="shared" si="53"/>
        <v>нд</v>
      </c>
      <c r="E76" s="214" t="str">
        <f t="shared" si="53"/>
        <v>нд</v>
      </c>
      <c r="F76" s="214" t="str">
        <f t="shared" si="53"/>
        <v>нд</v>
      </c>
      <c r="G76" s="214" t="str">
        <f t="shared" si="53"/>
        <v>нд</v>
      </c>
      <c r="H76" s="214" t="str">
        <f t="shared" si="53"/>
        <v>нд</v>
      </c>
      <c r="I76" s="214" t="str">
        <f t="shared" si="53"/>
        <v>нд</v>
      </c>
      <c r="J76" s="214" t="str">
        <f t="shared" si="53"/>
        <v>нд</v>
      </c>
      <c r="K76" s="214" t="str">
        <f t="shared" si="53"/>
        <v>нд</v>
      </c>
      <c r="L76" s="214" t="str">
        <f t="shared" si="53"/>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3"/>
        <v>нд</v>
      </c>
      <c r="C77" s="214" t="str">
        <f t="shared" si="53"/>
        <v>нд</v>
      </c>
      <c r="D77" s="214" t="str">
        <f t="shared" si="53"/>
        <v>нд</v>
      </c>
      <c r="E77" s="214" t="str">
        <f t="shared" si="53"/>
        <v>нд</v>
      </c>
      <c r="F77" s="214" t="str">
        <f t="shared" si="53"/>
        <v>нд</v>
      </c>
      <c r="G77" s="214" t="str">
        <f t="shared" si="53"/>
        <v>нд</v>
      </c>
      <c r="H77" s="214" t="str">
        <f t="shared" si="53"/>
        <v>нд</v>
      </c>
      <c r="I77" s="214" t="str">
        <f t="shared" si="53"/>
        <v>нд</v>
      </c>
      <c r="J77" s="214" t="str">
        <f t="shared" si="53"/>
        <v>нд</v>
      </c>
      <c r="K77" s="214" t="str">
        <f t="shared" si="53"/>
        <v>нд</v>
      </c>
      <c r="L77" s="214" t="str">
        <f t="shared" si="53"/>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3"/>
        <v>нд</v>
      </c>
      <c r="C78" s="214" t="str">
        <f t="shared" si="53"/>
        <v>нд</v>
      </c>
      <c r="D78" s="214" t="str">
        <f t="shared" si="53"/>
        <v>нд</v>
      </c>
      <c r="E78" s="214" t="str">
        <f t="shared" si="53"/>
        <v>нд</v>
      </c>
      <c r="F78" s="214" t="str">
        <f t="shared" si="53"/>
        <v>нд</v>
      </c>
      <c r="G78" s="214" t="str">
        <f t="shared" si="53"/>
        <v>нд</v>
      </c>
      <c r="H78" s="214" t="str">
        <f t="shared" si="53"/>
        <v>нд</v>
      </c>
      <c r="I78" s="214" t="str">
        <f t="shared" si="53"/>
        <v>нд</v>
      </c>
      <c r="J78" s="214" t="str">
        <f t="shared" si="53"/>
        <v>нд</v>
      </c>
      <c r="K78" s="214" t="str">
        <f t="shared" si="53"/>
        <v>нд</v>
      </c>
      <c r="L78" s="214" t="str">
        <f t="shared" si="53"/>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3"/>
        <v>нд</v>
      </c>
      <c r="C79" s="214" t="str">
        <f t="shared" si="53"/>
        <v>нд</v>
      </c>
      <c r="D79" s="214" t="str">
        <f t="shared" si="53"/>
        <v>нд</v>
      </c>
      <c r="E79" s="214" t="str">
        <f t="shared" si="53"/>
        <v>нд</v>
      </c>
      <c r="F79" s="214" t="str">
        <f t="shared" si="53"/>
        <v>нд</v>
      </c>
      <c r="G79" s="214" t="str">
        <f t="shared" si="53"/>
        <v>нд</v>
      </c>
      <c r="H79" s="214" t="str">
        <f t="shared" si="53"/>
        <v>нд</v>
      </c>
      <c r="I79" s="214" t="str">
        <f t="shared" si="53"/>
        <v>нд</v>
      </c>
      <c r="J79" s="214" t="str">
        <f t="shared" si="53"/>
        <v>нд</v>
      </c>
      <c r="K79" s="214" t="str">
        <f t="shared" si="53"/>
        <v>нд</v>
      </c>
      <c r="L79" s="214" t="str">
        <f t="shared" si="53"/>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3"/>
        <v>нд</v>
      </c>
      <c r="C80" s="214" t="str">
        <f t="shared" si="53"/>
        <v>нд</v>
      </c>
      <c r="D80" s="214" t="str">
        <f t="shared" si="53"/>
        <v>нд</v>
      </c>
      <c r="E80" s="214" t="str">
        <f t="shared" si="53"/>
        <v>нд</v>
      </c>
      <c r="F80" s="214" t="str">
        <f t="shared" si="53"/>
        <v>нд</v>
      </c>
      <c r="G80" s="214" t="str">
        <f t="shared" si="53"/>
        <v>нд</v>
      </c>
      <c r="H80" s="214" t="str">
        <f t="shared" si="53"/>
        <v>нд</v>
      </c>
      <c r="I80" s="214" t="str">
        <f t="shared" si="53"/>
        <v>нд</v>
      </c>
      <c r="J80" s="214" t="str">
        <f t="shared" si="53"/>
        <v>нд</v>
      </c>
      <c r="K80" s="214" t="str">
        <f t="shared" si="53"/>
        <v>нд</v>
      </c>
      <c r="L80" s="214" t="str">
        <f t="shared" si="53"/>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3"/>
        <v>нд</v>
      </c>
      <c r="C81" s="214" t="str">
        <f t="shared" si="53"/>
        <v>нд</v>
      </c>
      <c r="D81" s="214" t="str">
        <f t="shared" si="53"/>
        <v>нд</v>
      </c>
      <c r="E81" s="214" t="str">
        <f t="shared" si="53"/>
        <v>нд</v>
      </c>
      <c r="F81" s="214" t="str">
        <f t="shared" si="53"/>
        <v>нд</v>
      </c>
      <c r="G81" s="214" t="str">
        <f t="shared" si="53"/>
        <v>нд</v>
      </c>
      <c r="H81" s="214" t="str">
        <f t="shared" si="53"/>
        <v>нд</v>
      </c>
      <c r="I81" s="214" t="str">
        <f t="shared" si="53"/>
        <v>нд</v>
      </c>
      <c r="J81" s="214" t="str">
        <f t="shared" si="53"/>
        <v>нд</v>
      </c>
      <c r="K81" s="214" t="str">
        <f t="shared" si="53"/>
        <v>нд</v>
      </c>
      <c r="L81" s="214" t="str">
        <f t="shared" si="53"/>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3"/>
        <v>нд</v>
      </c>
      <c r="C82" s="214" t="str">
        <f t="shared" si="53"/>
        <v>нд</v>
      </c>
      <c r="D82" s="214" t="str">
        <f t="shared" si="53"/>
        <v>нд</v>
      </c>
      <c r="E82" s="214" t="str">
        <f t="shared" si="53"/>
        <v>нд</v>
      </c>
      <c r="F82" s="214" t="str">
        <f t="shared" si="53"/>
        <v>нд</v>
      </c>
      <c r="G82" s="214" t="str">
        <f t="shared" si="53"/>
        <v>нд</v>
      </c>
      <c r="H82" s="214" t="str">
        <f t="shared" si="53"/>
        <v>нд</v>
      </c>
      <c r="I82" s="214" t="str">
        <f t="shared" si="53"/>
        <v>нд</v>
      </c>
      <c r="J82" s="214" t="str">
        <f t="shared" si="53"/>
        <v>нд</v>
      </c>
      <c r="K82" s="214" t="str">
        <f t="shared" si="53"/>
        <v>нд</v>
      </c>
      <c r="L82" s="214" t="str">
        <f t="shared" si="53"/>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3"/>
        <v>нд</v>
      </c>
      <c r="C83" s="214" t="str">
        <f t="shared" si="53"/>
        <v>нд</v>
      </c>
      <c r="D83" s="214" t="str">
        <f t="shared" ref="C83:L86" si="54">IF($M83&gt;0,"нд","нд")</f>
        <v>нд</v>
      </c>
      <c r="E83" s="214" t="str">
        <f t="shared" si="54"/>
        <v>нд</v>
      </c>
      <c r="F83" s="214" t="str">
        <f t="shared" si="54"/>
        <v>нд</v>
      </c>
      <c r="G83" s="214" t="str">
        <f t="shared" si="54"/>
        <v>нд</v>
      </c>
      <c r="H83" s="214" t="str">
        <f t="shared" si="54"/>
        <v>нд</v>
      </c>
      <c r="I83" s="214" t="str">
        <f t="shared" si="54"/>
        <v>нд</v>
      </c>
      <c r="J83" s="214" t="str">
        <f t="shared" si="54"/>
        <v>нд</v>
      </c>
      <c r="K83" s="214" t="str">
        <f t="shared" si="54"/>
        <v>нд</v>
      </c>
      <c r="L83" s="214" t="str">
        <f t="shared" si="54"/>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5">IF($M84&gt;0,"нд","нд")</f>
        <v>нд</v>
      </c>
      <c r="C84" s="214" t="str">
        <f t="shared" si="54"/>
        <v>нд</v>
      </c>
      <c r="D84" s="214" t="str">
        <f t="shared" si="54"/>
        <v>нд</v>
      </c>
      <c r="E84" s="214" t="str">
        <f t="shared" si="54"/>
        <v>нд</v>
      </c>
      <c r="F84" s="214" t="str">
        <f t="shared" si="54"/>
        <v>нд</v>
      </c>
      <c r="G84" s="214" t="str">
        <f t="shared" si="54"/>
        <v>нд</v>
      </c>
      <c r="H84" s="214" t="str">
        <f t="shared" si="54"/>
        <v>нд</v>
      </c>
      <c r="I84" s="214" t="str">
        <f t="shared" si="54"/>
        <v>нд</v>
      </c>
      <c r="J84" s="214" t="str">
        <f t="shared" si="54"/>
        <v>нд</v>
      </c>
      <c r="K84" s="214" t="str">
        <f t="shared" si="54"/>
        <v>нд</v>
      </c>
      <c r="L84" s="214" t="str">
        <f t="shared" si="54"/>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5"/>
        <v>нд</v>
      </c>
      <c r="C85" s="214" t="str">
        <f t="shared" si="54"/>
        <v>нд</v>
      </c>
      <c r="D85" s="214" t="str">
        <f t="shared" si="54"/>
        <v>нд</v>
      </c>
      <c r="E85" s="214" t="str">
        <f t="shared" si="54"/>
        <v>нд</v>
      </c>
      <c r="F85" s="214" t="str">
        <f t="shared" si="54"/>
        <v>нд</v>
      </c>
      <c r="G85" s="214" t="str">
        <f t="shared" si="54"/>
        <v>нд</v>
      </c>
      <c r="H85" s="214" t="str">
        <f t="shared" si="54"/>
        <v>нд</v>
      </c>
      <c r="I85" s="214" t="str">
        <f t="shared" si="54"/>
        <v>нд</v>
      </c>
      <c r="J85" s="214" t="str">
        <f t="shared" si="54"/>
        <v>нд</v>
      </c>
      <c r="K85" s="214" t="str">
        <f t="shared" si="54"/>
        <v>нд</v>
      </c>
      <c r="L85" s="214" t="str">
        <f t="shared" si="54"/>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5"/>
        <v>нд</v>
      </c>
      <c r="C86" s="214" t="str">
        <f t="shared" si="54"/>
        <v>нд</v>
      </c>
      <c r="D86" s="214" t="str">
        <f t="shared" si="54"/>
        <v>нд</v>
      </c>
      <c r="E86" s="214" t="str">
        <f t="shared" si="54"/>
        <v>нд</v>
      </c>
      <c r="F86" s="214" t="str">
        <f t="shared" si="54"/>
        <v>нд</v>
      </c>
      <c r="G86" s="214" t="str">
        <f t="shared" si="54"/>
        <v>нд</v>
      </c>
      <c r="H86" s="214" t="str">
        <f t="shared" si="54"/>
        <v>нд</v>
      </c>
      <c r="I86" s="214" t="str">
        <f t="shared" si="54"/>
        <v>нд</v>
      </c>
      <c r="J86" s="214" t="str">
        <f t="shared" si="54"/>
        <v>нд</v>
      </c>
      <c r="K86" s="214" t="str">
        <f t="shared" si="54"/>
        <v>нд</v>
      </c>
      <c r="L86" s="214" t="str">
        <f t="shared" si="54"/>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2024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M_00.0008.000008</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570</v>
      </c>
    </row>
    <row r="22" spans="1:2" x14ac:dyDescent="0.25">
      <c r="A22" s="157" t="s">
        <v>306</v>
      </c>
      <c r="B22" s="157" t="s">
        <v>575</v>
      </c>
    </row>
    <row r="23" spans="1:2" x14ac:dyDescent="0.25">
      <c r="A23" s="157" t="s">
        <v>288</v>
      </c>
      <c r="B23" s="157" t="s">
        <v>561</v>
      </c>
    </row>
    <row r="24" spans="1:2" x14ac:dyDescent="0.25">
      <c r="A24" s="157" t="s">
        <v>307</v>
      </c>
      <c r="B24" s="157" t="s">
        <v>425</v>
      </c>
    </row>
    <row r="25" spans="1:2" x14ac:dyDescent="0.25">
      <c r="A25" s="158" t="s">
        <v>308</v>
      </c>
      <c r="B25" s="175">
        <v>45656</v>
      </c>
    </row>
    <row r="26" spans="1:2" x14ac:dyDescent="0.25">
      <c r="A26" s="158" t="s">
        <v>309</v>
      </c>
      <c r="B26" s="160" t="s">
        <v>574</v>
      </c>
    </row>
    <row r="27" spans="1:2" x14ac:dyDescent="0.25">
      <c r="A27" s="160" t="str">
        <f>CONCATENATE("Стоимость проекта в прогнозных ценах, млн. руб. с НДС")</f>
        <v>Стоимость проекта в прогнозных ценах, млн. руб. с НДС</v>
      </c>
      <c r="B27" s="171">
        <v>184.741352877829</v>
      </c>
    </row>
    <row r="28" spans="1:2" ht="93.75" customHeight="1" x14ac:dyDescent="0.25">
      <c r="A28" s="159" t="s">
        <v>310</v>
      </c>
      <c r="B28" s="162" t="s">
        <v>562</v>
      </c>
    </row>
    <row r="29" spans="1:2" ht="28.5" x14ac:dyDescent="0.25">
      <c r="A29" s="160" t="s">
        <v>311</v>
      </c>
      <c r="B29" s="171">
        <f>'7. Паспорт отчет о закупке'!$AB$26*1.2/1000</f>
        <v>290.4805014780294</v>
      </c>
    </row>
    <row r="30" spans="1:2" ht="28.5" x14ac:dyDescent="0.25">
      <c r="A30" s="160" t="s">
        <v>312</v>
      </c>
      <c r="B30" s="171">
        <f>'7. Паспорт отчет о закупке'!$AD$26/1000</f>
        <v>233.63456036319269</v>
      </c>
    </row>
    <row r="31" spans="1:2" x14ac:dyDescent="0.25">
      <c r="A31" s="159" t="s">
        <v>313</v>
      </c>
      <c r="B31" s="161"/>
    </row>
    <row r="32" spans="1:2" ht="28.5" x14ac:dyDescent="0.25">
      <c r="A32" s="160" t="s">
        <v>314</v>
      </c>
      <c r="B32" s="171">
        <f>SUM(SUMIF(B33,"&gt;0",B33),SUMIF(B37,"&gt;0",B37),SUMIF(B41,"&gt;0",B41),SUMIF(B45,"&gt;0",B45),SUMIF(B49,"&gt;0",B49),SUMIF(B53,"&gt;0",B53))</f>
        <v>141.65732974399998</v>
      </c>
    </row>
    <row r="33" spans="1:2" ht="30" x14ac:dyDescent="0.25">
      <c r="A33" s="168" t="s">
        <v>433</v>
      </c>
      <c r="B33" s="161">
        <f>IFERROR(IF(VLOOKUP(1,'7. Паспорт отчет о закупке'!$A$27:$CD$86,52,0)="ИП",VLOOKUP(1,'7. Паспорт отчет о закупке'!$A$27:$CD$86,30,0)/1000,"нд"),"нд")</f>
        <v>23.341167744</v>
      </c>
    </row>
    <row r="34" spans="1:2" x14ac:dyDescent="0.25">
      <c r="A34" s="168" t="s">
        <v>315</v>
      </c>
      <c r="B34" s="161">
        <f>IF(B33="нд","нд",$B33/$B$27*100)</f>
        <v>12.634511645822855</v>
      </c>
    </row>
    <row r="35" spans="1:2" x14ac:dyDescent="0.25">
      <c r="A35" s="168" t="s">
        <v>316</v>
      </c>
      <c r="B35" s="161">
        <f>IF(VLOOKUP(1,'7. Паспорт отчет о закупке'!$A$27:$CD$86,52,0)="ИП",VLOOKUP(1,'7. Паспорт отчет о закупке'!$A$27:$CD$86,51,0)/1000,"нд")</f>
        <v>3.8109685099999995</v>
      </c>
    </row>
    <row r="36" spans="1:2" x14ac:dyDescent="0.25">
      <c r="A36" s="168" t="s">
        <v>437</v>
      </c>
      <c r="B36" s="161">
        <f>IF(VLOOKUP(1,'7. Паспорт отчет о закупке'!$A$27:$CD$86,52,0)="ИП",VLOOKUP(1,'7. Паспорт отчет о закупке'!$A$27:$CD$86,50,0)/1000,"нд")</f>
        <v>4.0929033700000002</v>
      </c>
    </row>
    <row r="37" spans="1:2" ht="30" x14ac:dyDescent="0.25">
      <c r="A37" s="168" t="s">
        <v>433</v>
      </c>
      <c r="B37" s="161">
        <f>IF(VLOOKUP(2,'7. Паспорт отчет о закупке'!$A$27:$CD$86,52,0)="ИП",VLOOKUP(2,'7. Паспорт отчет о закупке'!$A$27:$CD$86,30,0)/1000,"нд")</f>
        <v>40.631762000000002</v>
      </c>
    </row>
    <row r="38" spans="1:2" x14ac:dyDescent="0.25">
      <c r="A38" s="168" t="s">
        <v>315</v>
      </c>
      <c r="B38" s="161">
        <f>IF(B37="нд","нд",$B37/$B$27*100)</f>
        <v>21.99386405212163</v>
      </c>
    </row>
    <row r="39" spans="1:2" x14ac:dyDescent="0.25">
      <c r="A39" s="168" t="s">
        <v>316</v>
      </c>
      <c r="B39" s="161">
        <f>IF(VLOOKUP(2,'7. Паспорт отчет о закупке'!$A$27:$CD$86,52,0)="ИП",VLOOKUP(2,'7. Паспорт отчет о закупке'!$A$27:$CD$86,51,0)/1000,"нд")</f>
        <v>29.098553800000001</v>
      </c>
    </row>
    <row r="40" spans="1:2" x14ac:dyDescent="0.25">
      <c r="A40" s="168" t="s">
        <v>437</v>
      </c>
      <c r="B40" s="161">
        <f>IF(VLOOKUP(2,'7. Паспорт отчет о закупке'!$A$27:$CD$86,52,0)="ИП",VLOOKUP(2,'7. Паспорт отчет о закупке'!$A$27:$CD$86,50,0)/1000,"нд")</f>
        <v>34.04940311</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f>IF(VLOOKUP(4,'7. Паспорт отчет о закупке'!$A$27:$CD$86,52,0)="ИП",VLOOKUP(4,'7. Паспорт отчет о закупке'!$A$27:$CD$86,30,0)/1000,"нд")</f>
        <v>72.776399999999995</v>
      </c>
    </row>
    <row r="46" spans="1:2" x14ac:dyDescent="0.25">
      <c r="A46" s="168" t="s">
        <v>315</v>
      </c>
      <c r="B46" s="161">
        <f>IF(B45="нд","нд",$B45/$B$27*100)</f>
        <v>39.393670592056147</v>
      </c>
    </row>
    <row r="47" spans="1:2" x14ac:dyDescent="0.25">
      <c r="A47" s="168" t="s">
        <v>316</v>
      </c>
      <c r="B47" s="161">
        <f>IF(VLOOKUP(4,'7. Паспорт отчет о закупке'!$A$27:$CD$86,52,0)="ИП",VLOOKUP(4,'7. Паспорт отчет о закупке'!$A$27:$CD$86,51,0)/1000,"нд")</f>
        <v>67.479210770000009</v>
      </c>
    </row>
    <row r="48" spans="1:2" x14ac:dyDescent="0.25">
      <c r="A48" s="168" t="s">
        <v>437</v>
      </c>
      <c r="B48" s="161">
        <f>IF(VLOOKUP(4,'7. Паспорт отчет о закупке'!$A$27:$CD$86,52,0)="ИП",VLOOKUP(4,'7. Паспорт отчет о закупке'!$A$27:$CD$86,50,0)/1000,"нд")</f>
        <v>13.513519669999997</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f>IF(VLOOKUP(6,'7. Паспорт отчет о закупке'!$A$27:$CD$86,52,0)="ИП",VLOOKUP(6,'7. Паспорт отчет о закупке'!$A$27:$CD$86,30,0)/1000,"нд")</f>
        <v>4.9080000000000004</v>
      </c>
    </row>
    <row r="54" spans="1:2" x14ac:dyDescent="0.25">
      <c r="A54" s="168" t="s">
        <v>315</v>
      </c>
      <c r="B54" s="161">
        <f>IF(B53="нд","нд",$B53/$B$27*100)</f>
        <v>2.6566872676556081</v>
      </c>
    </row>
    <row r="55" spans="1:2" x14ac:dyDescent="0.25">
      <c r="A55" s="168" t="s">
        <v>316</v>
      </c>
      <c r="B55" s="161">
        <f>IF(VLOOKUP(6,'7. Паспорт отчет о закупке'!$A$27:$CD$86,52,0)="ИП",VLOOKUP(6,'7. Паспорт отчет о закупке'!$A$27:$CD$86,51,0)/1000,"нд")</f>
        <v>4.9080000000000004</v>
      </c>
    </row>
    <row r="56" spans="1:2" x14ac:dyDescent="0.25">
      <c r="A56" s="168" t="s">
        <v>437</v>
      </c>
      <c r="B56" s="161">
        <f>IF(VLOOKUP(6,'7. Паспорт отчет о закупке'!$A$27:$CD$86,52,0)="ИП",VLOOKUP(6,'7. Паспорт отчет о закупке'!$A$27:$CD$86,50,0)/1000,"нд")</f>
        <v>4.09</v>
      </c>
    </row>
    <row r="57" spans="1:2" ht="28.5" x14ac:dyDescent="0.25">
      <c r="A57" s="169" t="s">
        <v>317</v>
      </c>
      <c r="B57" s="171">
        <f>SUM(SUMIF(B58,"&gt;0",B58),SUMIF(B62,"&gt;0",B62),SUMIF(B66,"&gt;0",B66),SUMIF(B70,"&gt;0",B70),SUMIF(B74,"&gt;0",B74))</f>
        <v>74.34083061919273</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f>IF(VLOOKUP(3,'7. Паспорт отчет о закупке'!$A$27:$CD$86,52,0)="ПД",VLOOKUP(3,'7. Паспорт отчет о закупке'!$A$27:$CD$86,30,0)/1000,"нд")</f>
        <v>35.789772534029389</v>
      </c>
    </row>
    <row r="67" spans="1:2" x14ac:dyDescent="0.25">
      <c r="A67" s="168" t="s">
        <v>315</v>
      </c>
      <c r="B67" s="161">
        <f>IF(B66="нд","нд",$B66/$B$27*100)</f>
        <v>19.372908109911627</v>
      </c>
    </row>
    <row r="68" spans="1:2" x14ac:dyDescent="0.25">
      <c r="A68" s="168" t="s">
        <v>316</v>
      </c>
      <c r="B68" s="161">
        <f>IF(VLOOKUP(3,'7. Паспорт отчет о закупке'!$A$27:$CD$86,52,0)="ПД",VLOOKUP(3,'7. Паспорт отчет о закупке'!$A$27:$CD$86,51,0)/1000,"нд")</f>
        <v>37.678456799999999</v>
      </c>
    </row>
    <row r="69" spans="1:2" x14ac:dyDescent="0.25">
      <c r="A69" s="168" t="s">
        <v>437</v>
      </c>
      <c r="B69" s="161">
        <f>IF(VLOOKUP(3,'7. Паспорт отчет о закупке'!$A$27:$CD$86,52,0)="ПД",VLOOKUP(3,'7. Паспорт отчет о закупке'!$A$27:$CD$86,50,0)/1000,"нд")</f>
        <v>31.398713999999998</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f>IF(VLOOKUP(5,'7. Паспорт отчет о закупке'!$A$27:$CD$86,52,0)="ПД",VLOOKUP(5,'7. Паспорт отчет о закупке'!$A$27:$CD$86,30,0)/1000,"нд")</f>
        <v>38.551058085163334</v>
      </c>
    </row>
    <row r="75" spans="1:2" x14ac:dyDescent="0.25">
      <c r="A75" s="168" t="s">
        <v>315</v>
      </c>
      <c r="B75" s="161">
        <f>IF(B74="нд","нд",$B74/$B$27*100)</f>
        <v>20.867584590363734</v>
      </c>
    </row>
    <row r="76" spans="1:2" x14ac:dyDescent="0.25">
      <c r="A76" s="168" t="s">
        <v>316</v>
      </c>
      <c r="B76" s="161">
        <f>IF(VLOOKUP(5,'7. Паспорт отчет о закупке'!$A$27:$CD$86,52,0)="ПД",VLOOKUP(5,'7. Паспорт отчет о закупке'!$A$27:$CD$86,51,0)/1000,"нд")</f>
        <v>38.956199999999995</v>
      </c>
    </row>
    <row r="77" spans="1:2" x14ac:dyDescent="0.25">
      <c r="A77" s="168" t="s">
        <v>437</v>
      </c>
      <c r="B77" s="161">
        <f>IF(VLOOKUP(5,'7. Паспорт отчет о закупке'!$A$27:$CD$86,52,0)="ПД",VLOOKUP(5,'7. Паспорт отчет о закупке'!$A$27:$CD$86,50,0)/1000,"нд")</f>
        <v>32.463500000000003</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76.67873355765623</v>
      </c>
      <c r="C85" s="194"/>
      <c r="D85" s="195"/>
      <c r="E85" s="194"/>
      <c r="F85" s="194"/>
      <c r="G85" s="194"/>
    </row>
    <row r="86" spans="1:7" x14ac:dyDescent="0.25">
      <c r="A86" s="163" t="s">
        <v>321</v>
      </c>
      <c r="B86" s="166">
        <f>SUMIF('7. Паспорт отчет о закупке'!$BA$27:$BA$86,"ТМЦ",'7. Паспорт отчет о закупке'!$AD$27:$AD$86)/1000/$B$27*100</f>
        <v>49.787028830528286</v>
      </c>
      <c r="C86" s="194"/>
      <c r="D86" s="195"/>
      <c r="E86" s="194"/>
      <c r="F86" s="194"/>
      <c r="G86" s="194"/>
    </row>
    <row r="87" spans="1:7" x14ac:dyDescent="0.25">
      <c r="A87" s="163" t="s">
        <v>322</v>
      </c>
      <c r="B87" s="166">
        <f>SUMIF('7. Паспорт отчет о закупке'!$BA$27:$BA$86,"ПИР",'7. Паспорт отчет о закупке'!$AD$27:$AD$86)/1000/$B$27*100</f>
        <v>0</v>
      </c>
      <c r="C87" s="194"/>
      <c r="D87" s="195"/>
      <c r="E87" s="194"/>
      <c r="F87" s="194"/>
      <c r="G87" s="194"/>
    </row>
    <row r="88" spans="1:7" ht="30" x14ac:dyDescent="0.25">
      <c r="A88" s="158" t="s">
        <v>439</v>
      </c>
      <c r="B88" s="171">
        <v>52.245429194095358</v>
      </c>
      <c r="C88" s="194"/>
      <c r="D88" s="194"/>
      <c r="E88" s="194"/>
      <c r="F88" s="194"/>
      <c r="G88" s="194"/>
    </row>
    <row r="89" spans="1:7" x14ac:dyDescent="0.25">
      <c r="A89" s="158" t="s">
        <v>323</v>
      </c>
      <c r="B89" s="171">
        <f>'6.2. Паспорт фин осв ввод'!D24-'6.2. Паспорт фин осв ввод'!E24</f>
        <v>136.83751493703767</v>
      </c>
    </row>
    <row r="90" spans="1:7" x14ac:dyDescent="0.25">
      <c r="A90" s="158" t="s">
        <v>436</v>
      </c>
      <c r="B90" s="171">
        <f>IFERROR(SUM(B91*1.2/$B$27*100),0)</f>
        <v>74.33569464808275</v>
      </c>
    </row>
    <row r="91" spans="1:7" x14ac:dyDescent="0.25">
      <c r="A91" s="158" t="s">
        <v>441</v>
      </c>
      <c r="B91" s="171">
        <f>'6.2. Паспорт фин осв ввод'!D34-'6.2. Паспорт фин осв ввод'!E34</f>
        <v>114.44063997000001</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АКЦИОНЕРНОЕ ОБЩЕСТВО "РЕМОНТЭНЕРГОМОНТАЖ И СЕРВИС"  , СМР, Выполнение строительно-монтажных и пусконаладочных работ по проекту "Реконструкция ПС 220 кВ Правобережная в части замены ячеек выключателей 220 кВ (3 шт.), с выполнением сопутствующего объема работ (2ПК в части В-236, СВ-220), договор № ИП-23-00129 от 26.04.2023
АКЦИОНЕРНОЕ ОБЩЕСТВО "РЕМОНТЭНЕРГОМОНТАЖ И СЕРВИС", СМР, Выполнение строительно-монтажных и пусконаладочных работ по проекту "Реконструкция ПС 220 кВ Правобережная в части замены ячеек выключателей 220 кВ (3 шт.), с выполнением сопутствующего объема работ, договор № ИП-23-00077 от 29.03.2023
Индивидуальный предприниматель Григорьянц Артем Александрович, ТМЦ, нд, договор № ПД-19-00155 от 28.06.2019
АО "РЭМиС", СМР, Проектно-изыскательские, строительно-монтажные и пусконаладочные работы по реконструкции ПС 220 кВ Восточная в части замены ячеек выключателей 110-220 кВ (7 шт.) с выполнением сопутствующего объема работ и реконструкции ПС 220 кВ Правобережная в части замены ячеек выключателей 220 кВ (3 шт.) с выполнением сопутствующего объема работ, договор № ИП-19-00125 от 03.07.2019
Общество с ограниченной ответственностью "Инженерный центр Сибири", ТМЦ, Поставка разъединителей 110-220 кВ, договор № ПД-23-00052 от 14.03.2023
АО "РЭМиС", СМР, Выполнение строительно-монтажных и пуско-наладочных работ по проекту  "Реконструкция ПС 220 кВ Правобережная в части замены ячеек выключателей 220 кВ (3 шт.), с выполнением сопутствующего объема работ" в объеме работ по 1 ПК (В-236), договор № ИП-22-00096 от 19.04.2022
ООО "Остерон", ТМЦ, Поставка  выключателей 220кВ, договор № ПД-20-00171 от 16.07.2020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508</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M_00.0008.000008</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M_00.0008.000008</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570</v>
      </c>
      <c r="C25" s="151" t="s">
        <v>570</v>
      </c>
      <c r="D25" s="151" t="s">
        <v>382</v>
      </c>
      <c r="E25" s="151" t="s">
        <v>576</v>
      </c>
      <c r="F25" s="151" t="s">
        <v>577</v>
      </c>
      <c r="G25" s="151" t="s">
        <v>578</v>
      </c>
      <c r="H25" s="151" t="s">
        <v>578</v>
      </c>
      <c r="I25" s="151">
        <v>1981</v>
      </c>
      <c r="J25" s="151">
        <v>2020</v>
      </c>
      <c r="K25" s="151">
        <v>1983</v>
      </c>
      <c r="L25" s="151">
        <v>220</v>
      </c>
      <c r="M25" s="151">
        <v>220</v>
      </c>
      <c r="N25" s="151" t="s">
        <v>425</v>
      </c>
      <c r="O25" s="151" t="s">
        <v>425</v>
      </c>
      <c r="P25" s="244">
        <v>2012</v>
      </c>
      <c r="Q25" s="151" t="s">
        <v>579</v>
      </c>
      <c r="R25" s="151" t="s">
        <v>580</v>
      </c>
      <c r="S25" s="151" t="s">
        <v>425</v>
      </c>
      <c r="T25" s="151" t="s">
        <v>425</v>
      </c>
    </row>
    <row r="26" spans="1:20" s="152" customFormat="1" ht="112.5" customHeight="1" x14ac:dyDescent="0.25">
      <c r="A26" s="151">
        <v>2</v>
      </c>
      <c r="B26" s="151" t="s">
        <v>570</v>
      </c>
      <c r="C26" s="151" t="s">
        <v>570</v>
      </c>
      <c r="D26" s="151" t="s">
        <v>382</v>
      </c>
      <c r="E26" s="151" t="s">
        <v>581</v>
      </c>
      <c r="F26" s="151" t="s">
        <v>577</v>
      </c>
      <c r="G26" s="151" t="s">
        <v>582</v>
      </c>
      <c r="H26" s="151" t="s">
        <v>582</v>
      </c>
      <c r="I26" s="151">
        <v>1988</v>
      </c>
      <c r="J26" s="151">
        <v>2019</v>
      </c>
      <c r="K26" s="151" t="s">
        <v>583</v>
      </c>
      <c r="L26" s="151">
        <v>220</v>
      </c>
      <c r="M26" s="151">
        <v>220</v>
      </c>
      <c r="N26" s="151" t="s">
        <v>425</v>
      </c>
      <c r="O26" s="151" t="s">
        <v>425</v>
      </c>
      <c r="P26" s="151">
        <v>2014</v>
      </c>
      <c r="Q26" s="151" t="s">
        <v>579</v>
      </c>
      <c r="R26" s="151" t="s">
        <v>580</v>
      </c>
      <c r="S26" s="151" t="s">
        <v>425</v>
      </c>
      <c r="T26" s="151" t="s">
        <v>425</v>
      </c>
    </row>
    <row r="27" spans="1:20" s="152" customFormat="1" ht="112.5" customHeight="1" x14ac:dyDescent="0.25">
      <c r="A27" s="151">
        <v>3</v>
      </c>
      <c r="B27" s="151" t="s">
        <v>570</v>
      </c>
      <c r="C27" s="151" t="s">
        <v>570</v>
      </c>
      <c r="D27" s="151" t="s">
        <v>382</v>
      </c>
      <c r="E27" s="151" t="s">
        <v>581</v>
      </c>
      <c r="F27" s="151" t="s">
        <v>577</v>
      </c>
      <c r="G27" s="151" t="s">
        <v>584</v>
      </c>
      <c r="H27" s="151" t="s">
        <v>584</v>
      </c>
      <c r="I27" s="151" t="s">
        <v>583</v>
      </c>
      <c r="J27" s="151">
        <v>2019</v>
      </c>
      <c r="K27" s="151" t="s">
        <v>583</v>
      </c>
      <c r="L27" s="151">
        <v>220</v>
      </c>
      <c r="M27" s="151">
        <v>220</v>
      </c>
      <c r="N27" s="151" t="s">
        <v>425</v>
      </c>
      <c r="O27" s="151" t="s">
        <v>425</v>
      </c>
      <c r="P27" s="151">
        <v>2014</v>
      </c>
      <c r="Q27" s="151" t="s">
        <v>579</v>
      </c>
      <c r="R27" s="151" t="s">
        <v>580</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1"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M_00.0008.000008</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568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569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570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571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572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573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43466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574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M_00.0008.000008</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M_00.0008.000008</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M_00.0008.000008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R23" sqref="R23"/>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41.710937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448</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M_00.0008.000008</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452</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43466</v>
      </c>
      <c r="D25" s="255">
        <v>45180</v>
      </c>
      <c r="E25" s="255">
        <v>43605</v>
      </c>
      <c r="F25" s="255">
        <v>45180</v>
      </c>
      <c r="G25" s="256">
        <v>1</v>
      </c>
      <c r="H25" s="256">
        <v>1</v>
      </c>
      <c r="I25" s="252">
        <v>0</v>
      </c>
      <c r="J25" s="252" t="s">
        <v>425</v>
      </c>
      <c r="L25" s="290"/>
    </row>
    <row r="26" spans="1:12" x14ac:dyDescent="0.25">
      <c r="A26" s="257" t="s">
        <v>454</v>
      </c>
      <c r="B26" s="258" t="s">
        <v>455</v>
      </c>
      <c r="C26" s="255" t="s">
        <v>425</v>
      </c>
      <c r="D26" s="255" t="s">
        <v>425</v>
      </c>
      <c r="E26" s="255" t="s">
        <v>425</v>
      </c>
      <c r="F26" s="255" t="s">
        <v>425</v>
      </c>
      <c r="G26" s="260" t="s">
        <v>425</v>
      </c>
      <c r="H26" s="260" t="s">
        <v>425</v>
      </c>
      <c r="I26" s="257">
        <v>0</v>
      </c>
      <c r="J26" s="257" t="s">
        <v>425</v>
      </c>
    </row>
    <row r="27" spans="1:12" x14ac:dyDescent="0.25">
      <c r="A27" s="257" t="s">
        <v>456</v>
      </c>
      <c r="B27" s="258" t="s">
        <v>457</v>
      </c>
      <c r="C27" s="255" t="s">
        <v>425</v>
      </c>
      <c r="D27" s="255" t="s">
        <v>425</v>
      </c>
      <c r="E27" s="255" t="s">
        <v>425</v>
      </c>
      <c r="F27" s="255" t="s">
        <v>425</v>
      </c>
      <c r="G27" s="260" t="s">
        <v>425</v>
      </c>
      <c r="H27" s="260" t="s">
        <v>425</v>
      </c>
      <c r="I27" s="257">
        <v>0</v>
      </c>
      <c r="J27" s="257" t="s">
        <v>425</v>
      </c>
    </row>
    <row r="28" spans="1:12" ht="31.5" x14ac:dyDescent="0.25">
      <c r="A28" s="257" t="s">
        <v>458</v>
      </c>
      <c r="B28" s="258" t="s">
        <v>459</v>
      </c>
      <c r="C28" s="255" t="s">
        <v>425</v>
      </c>
      <c r="D28" s="255" t="s">
        <v>425</v>
      </c>
      <c r="E28" s="255" t="s">
        <v>425</v>
      </c>
      <c r="F28" s="255" t="s">
        <v>425</v>
      </c>
      <c r="G28" s="260" t="s">
        <v>425</v>
      </c>
      <c r="H28" s="260" t="s">
        <v>425</v>
      </c>
      <c r="I28" s="257">
        <v>0</v>
      </c>
      <c r="J28" s="257" t="s">
        <v>425</v>
      </c>
    </row>
    <row r="29" spans="1:12" x14ac:dyDescent="0.25">
      <c r="A29" s="257" t="s">
        <v>460</v>
      </c>
      <c r="B29" s="258" t="s">
        <v>461</v>
      </c>
      <c r="C29" s="255" t="s">
        <v>425</v>
      </c>
      <c r="D29" s="255" t="s">
        <v>425</v>
      </c>
      <c r="E29" s="255" t="s">
        <v>425</v>
      </c>
      <c r="F29" s="255" t="s">
        <v>425</v>
      </c>
      <c r="G29" s="260" t="s">
        <v>425</v>
      </c>
      <c r="H29" s="260" t="s">
        <v>425</v>
      </c>
      <c r="I29" s="257">
        <v>0</v>
      </c>
      <c r="J29" s="257" t="s">
        <v>425</v>
      </c>
    </row>
    <row r="30" spans="1:12" x14ac:dyDescent="0.25">
      <c r="A30" s="257" t="s">
        <v>462</v>
      </c>
      <c r="B30" s="258" t="s">
        <v>463</v>
      </c>
      <c r="C30" s="255" t="s">
        <v>425</v>
      </c>
      <c r="D30" s="255" t="s">
        <v>425</v>
      </c>
      <c r="E30" s="255" t="s">
        <v>425</v>
      </c>
      <c r="F30" s="255" t="s">
        <v>425</v>
      </c>
      <c r="G30" s="260" t="s">
        <v>425</v>
      </c>
      <c r="H30" s="260" t="s">
        <v>425</v>
      </c>
      <c r="I30" s="257">
        <v>0</v>
      </c>
      <c r="J30" s="257" t="s">
        <v>425</v>
      </c>
    </row>
    <row r="31" spans="1:12" x14ac:dyDescent="0.25">
      <c r="A31" s="257" t="s">
        <v>464</v>
      </c>
      <c r="B31" s="258" t="s">
        <v>465</v>
      </c>
      <c r="C31" s="255">
        <v>43466</v>
      </c>
      <c r="D31" s="255">
        <v>43649</v>
      </c>
      <c r="E31" s="255">
        <v>43605</v>
      </c>
      <c r="F31" s="255">
        <v>43649</v>
      </c>
      <c r="G31" s="260">
        <v>1</v>
      </c>
      <c r="H31" s="260">
        <v>1</v>
      </c>
      <c r="I31" s="257">
        <v>0</v>
      </c>
      <c r="J31" s="257" t="s">
        <v>425</v>
      </c>
    </row>
    <row r="32" spans="1:12" x14ac:dyDescent="0.25">
      <c r="A32" s="257" t="s">
        <v>466</v>
      </c>
      <c r="B32" s="258" t="s">
        <v>467</v>
      </c>
      <c r="C32" s="255">
        <v>43709</v>
      </c>
      <c r="D32" s="255">
        <v>43824</v>
      </c>
      <c r="E32" s="255">
        <v>43819</v>
      </c>
      <c r="F32" s="255">
        <v>43824</v>
      </c>
      <c r="G32" s="260">
        <v>1</v>
      </c>
      <c r="H32" s="260">
        <v>1</v>
      </c>
      <c r="I32" s="257">
        <v>0</v>
      </c>
      <c r="J32" s="257" t="s">
        <v>425</v>
      </c>
    </row>
    <row r="33" spans="1:10" ht="31.5" x14ac:dyDescent="0.25">
      <c r="A33" s="257" t="s">
        <v>468</v>
      </c>
      <c r="B33" s="258" t="s">
        <v>469</v>
      </c>
      <c r="C33" s="255" t="s">
        <v>425</v>
      </c>
      <c r="D33" s="255" t="s">
        <v>425</v>
      </c>
      <c r="E33" s="255" t="s">
        <v>425</v>
      </c>
      <c r="F33" s="255" t="s">
        <v>425</v>
      </c>
      <c r="G33" s="260" t="s">
        <v>425</v>
      </c>
      <c r="H33" s="260" t="s">
        <v>425</v>
      </c>
      <c r="I33" s="257">
        <v>0</v>
      </c>
      <c r="J33" s="257" t="s">
        <v>425</v>
      </c>
    </row>
    <row r="34" spans="1:10" ht="31.5" x14ac:dyDescent="0.25">
      <c r="A34" s="257" t="s">
        <v>470</v>
      </c>
      <c r="B34" s="258" t="s">
        <v>471</v>
      </c>
      <c r="C34" s="255" t="s">
        <v>425</v>
      </c>
      <c r="D34" s="255" t="s">
        <v>425</v>
      </c>
      <c r="E34" s="255" t="s">
        <v>425</v>
      </c>
      <c r="F34" s="255" t="s">
        <v>425</v>
      </c>
      <c r="G34" s="260" t="s">
        <v>425</v>
      </c>
      <c r="H34" s="260" t="s">
        <v>425</v>
      </c>
      <c r="I34" s="257">
        <v>0</v>
      </c>
      <c r="J34" s="257" t="s">
        <v>425</v>
      </c>
    </row>
    <row r="35" spans="1:10" x14ac:dyDescent="0.25">
      <c r="A35" s="257" t="s">
        <v>472</v>
      </c>
      <c r="B35" s="258" t="s">
        <v>473</v>
      </c>
      <c r="C35" s="255">
        <v>44867</v>
      </c>
      <c r="D35" s="255">
        <v>45180</v>
      </c>
      <c r="E35" s="255">
        <v>44867</v>
      </c>
      <c r="F35" s="255">
        <v>45180</v>
      </c>
      <c r="G35" s="260">
        <v>1</v>
      </c>
      <c r="H35" s="260">
        <v>1</v>
      </c>
      <c r="I35" s="257">
        <v>0</v>
      </c>
      <c r="J35" s="257" t="s">
        <v>425</v>
      </c>
    </row>
    <row r="36" spans="1:10" x14ac:dyDescent="0.25">
      <c r="A36" s="257" t="s">
        <v>474</v>
      </c>
      <c r="B36" s="258" t="s">
        <v>475</v>
      </c>
      <c r="C36" s="255" t="s">
        <v>425</v>
      </c>
      <c r="D36" s="255" t="s">
        <v>425</v>
      </c>
      <c r="E36" s="255" t="s">
        <v>425</v>
      </c>
      <c r="F36" s="255" t="s">
        <v>425</v>
      </c>
      <c r="G36" s="260" t="s">
        <v>425</v>
      </c>
      <c r="H36" s="260" t="s">
        <v>425</v>
      </c>
      <c r="I36" s="257">
        <v>0</v>
      </c>
      <c r="J36" s="257" t="s">
        <v>425</v>
      </c>
    </row>
    <row r="37" spans="1:10" x14ac:dyDescent="0.25">
      <c r="A37" s="257" t="s">
        <v>476</v>
      </c>
      <c r="B37" s="258" t="s">
        <v>477</v>
      </c>
      <c r="C37" s="255">
        <v>43709</v>
      </c>
      <c r="D37" s="255">
        <v>43824</v>
      </c>
      <c r="E37" s="255">
        <v>43709</v>
      </c>
      <c r="F37" s="255">
        <v>43824</v>
      </c>
      <c r="G37" s="260">
        <v>1</v>
      </c>
      <c r="H37" s="260">
        <v>1</v>
      </c>
      <c r="I37" s="257">
        <v>0</v>
      </c>
      <c r="J37" s="257" t="s">
        <v>425</v>
      </c>
    </row>
    <row r="38" spans="1:10" ht="47.25" x14ac:dyDescent="0.25">
      <c r="A38" s="252">
        <v>2</v>
      </c>
      <c r="B38" s="254" t="s">
        <v>503</v>
      </c>
      <c r="C38" s="255" t="s">
        <v>425</v>
      </c>
      <c r="D38" s="255" t="s">
        <v>425</v>
      </c>
      <c r="E38" s="255" t="s">
        <v>425</v>
      </c>
      <c r="F38" s="255" t="s">
        <v>425</v>
      </c>
      <c r="G38" s="261">
        <v>1</v>
      </c>
      <c r="H38" s="261">
        <v>1</v>
      </c>
      <c r="I38" s="252" t="s">
        <v>592</v>
      </c>
      <c r="J38" s="252" t="s">
        <v>425</v>
      </c>
    </row>
    <row r="39" spans="1:10" ht="31.5" x14ac:dyDescent="0.25">
      <c r="A39" s="262" t="s">
        <v>478</v>
      </c>
      <c r="B39" s="258" t="s">
        <v>479</v>
      </c>
      <c r="C39" s="255">
        <v>43466</v>
      </c>
      <c r="D39" s="255">
        <v>45380</v>
      </c>
      <c r="E39" s="255">
        <v>43937</v>
      </c>
      <c r="F39" s="255">
        <v>45042</v>
      </c>
      <c r="G39" s="263">
        <v>1</v>
      </c>
      <c r="H39" s="263">
        <v>1</v>
      </c>
      <c r="I39" s="257">
        <v>0</v>
      </c>
      <c r="J39" s="257" t="s">
        <v>425</v>
      </c>
    </row>
    <row r="40" spans="1:10" x14ac:dyDescent="0.25">
      <c r="A40" s="262" t="s">
        <v>480</v>
      </c>
      <c r="B40" s="258" t="s">
        <v>481</v>
      </c>
      <c r="C40" s="255">
        <v>43585</v>
      </c>
      <c r="D40" s="255">
        <v>44622</v>
      </c>
      <c r="E40" s="255">
        <v>43583</v>
      </c>
      <c r="F40" s="255">
        <v>45595</v>
      </c>
      <c r="G40" s="263" t="s">
        <v>589</v>
      </c>
      <c r="H40" s="263" t="s">
        <v>589</v>
      </c>
      <c r="I40" s="257">
        <v>0</v>
      </c>
      <c r="J40" s="257" t="s">
        <v>425</v>
      </c>
    </row>
    <row r="41" spans="1:10" x14ac:dyDescent="0.25">
      <c r="A41" s="252">
        <v>3</v>
      </c>
      <c r="B41" s="254" t="s">
        <v>482</v>
      </c>
      <c r="C41" s="255">
        <v>43644</v>
      </c>
      <c r="D41" s="255">
        <v>45565</v>
      </c>
      <c r="E41" s="255">
        <v>43556</v>
      </c>
      <c r="F41" s="255">
        <v>45652</v>
      </c>
      <c r="G41" s="261">
        <v>0.92500000000000004</v>
      </c>
      <c r="H41" s="261">
        <v>1</v>
      </c>
      <c r="I41" s="252">
        <v>0</v>
      </c>
      <c r="J41" s="252" t="s">
        <v>425</v>
      </c>
    </row>
    <row r="42" spans="1:10" ht="47.25" x14ac:dyDescent="0.25">
      <c r="A42" s="257" t="s">
        <v>483</v>
      </c>
      <c r="B42" s="258" t="s">
        <v>484</v>
      </c>
      <c r="C42" s="255">
        <v>43922</v>
      </c>
      <c r="D42" s="255">
        <v>45413</v>
      </c>
      <c r="E42" s="255">
        <v>43556</v>
      </c>
      <c r="F42" s="255">
        <v>45565</v>
      </c>
      <c r="G42" s="263">
        <v>1</v>
      </c>
      <c r="H42" s="263">
        <v>1</v>
      </c>
      <c r="I42" s="257" t="s">
        <v>592</v>
      </c>
      <c r="J42" s="257" t="s">
        <v>425</v>
      </c>
    </row>
    <row r="43" spans="1:10" x14ac:dyDescent="0.25">
      <c r="A43" s="257" t="s">
        <v>485</v>
      </c>
      <c r="B43" s="258" t="s">
        <v>486</v>
      </c>
      <c r="C43" s="255">
        <v>43644</v>
      </c>
      <c r="D43" s="255">
        <v>45502</v>
      </c>
      <c r="E43" s="255">
        <v>43644</v>
      </c>
      <c r="F43" s="255">
        <v>45638</v>
      </c>
      <c r="G43" s="263" t="s">
        <v>589</v>
      </c>
      <c r="H43" s="263" t="s">
        <v>425</v>
      </c>
      <c r="I43" s="257">
        <v>0</v>
      </c>
      <c r="J43" s="257" t="s">
        <v>425</v>
      </c>
    </row>
    <row r="44" spans="1:10" ht="47.25" x14ac:dyDescent="0.25">
      <c r="A44" s="257" t="s">
        <v>487</v>
      </c>
      <c r="B44" s="258" t="s">
        <v>488</v>
      </c>
      <c r="C44" s="255">
        <v>43952</v>
      </c>
      <c r="D44" s="255">
        <v>45562</v>
      </c>
      <c r="E44" s="255">
        <v>43645</v>
      </c>
      <c r="F44" s="255">
        <v>45638</v>
      </c>
      <c r="G44" s="263" t="s">
        <v>590</v>
      </c>
      <c r="H44" s="263" t="s">
        <v>425</v>
      </c>
      <c r="I44" s="257" t="s">
        <v>592</v>
      </c>
      <c r="J44" s="257" t="s">
        <v>425</v>
      </c>
    </row>
    <row r="45" spans="1:10" ht="31.5" x14ac:dyDescent="0.25">
      <c r="A45" s="257" t="s">
        <v>489</v>
      </c>
      <c r="B45" s="258" t="s">
        <v>490</v>
      </c>
      <c r="C45" s="255" t="s">
        <v>425</v>
      </c>
      <c r="D45" s="255" t="s">
        <v>425</v>
      </c>
      <c r="E45" s="255" t="s">
        <v>425</v>
      </c>
      <c r="F45" s="255" t="s">
        <v>425</v>
      </c>
      <c r="G45" s="263" t="s">
        <v>425</v>
      </c>
      <c r="H45" s="263" t="s">
        <v>425</v>
      </c>
      <c r="I45" s="257">
        <v>0</v>
      </c>
      <c r="J45" s="257" t="s">
        <v>425</v>
      </c>
    </row>
    <row r="46" spans="1:10" ht="63" x14ac:dyDescent="0.25">
      <c r="A46" s="257" t="s">
        <v>491</v>
      </c>
      <c r="B46" s="258" t="s">
        <v>492</v>
      </c>
      <c r="C46" s="255" t="s">
        <v>425</v>
      </c>
      <c r="D46" s="255" t="s">
        <v>425</v>
      </c>
      <c r="E46" s="255" t="s">
        <v>425</v>
      </c>
      <c r="F46" s="255" t="s">
        <v>425</v>
      </c>
      <c r="G46" s="263" t="s">
        <v>425</v>
      </c>
      <c r="H46" s="263" t="s">
        <v>425</v>
      </c>
      <c r="I46" s="257">
        <v>0</v>
      </c>
      <c r="J46" s="257" t="s">
        <v>425</v>
      </c>
    </row>
    <row r="47" spans="1:10" ht="47.25" x14ac:dyDescent="0.25">
      <c r="A47" s="257" t="s">
        <v>493</v>
      </c>
      <c r="B47" s="258" t="s">
        <v>494</v>
      </c>
      <c r="C47" s="255">
        <v>44072</v>
      </c>
      <c r="D47" s="255">
        <v>45565</v>
      </c>
      <c r="E47" s="255">
        <v>44181</v>
      </c>
      <c r="F47" s="255">
        <v>45652</v>
      </c>
      <c r="G47" s="263" t="s">
        <v>591</v>
      </c>
      <c r="H47" s="263" t="s">
        <v>425</v>
      </c>
      <c r="I47" s="257" t="s">
        <v>592</v>
      </c>
      <c r="J47" s="257" t="s">
        <v>425</v>
      </c>
    </row>
    <row r="48" spans="1:10" x14ac:dyDescent="0.25">
      <c r="A48" s="252">
        <v>4</v>
      </c>
      <c r="B48" s="254" t="s">
        <v>495</v>
      </c>
      <c r="C48" s="255">
        <v>44072</v>
      </c>
      <c r="D48" s="255">
        <v>45596</v>
      </c>
      <c r="E48" s="255">
        <v>44191</v>
      </c>
      <c r="F48" s="255">
        <v>45656</v>
      </c>
      <c r="G48" s="261">
        <v>0.8</v>
      </c>
      <c r="H48" s="261" t="s">
        <v>425</v>
      </c>
      <c r="I48" s="252">
        <v>0</v>
      </c>
      <c r="J48" s="252" t="s">
        <v>425</v>
      </c>
    </row>
    <row r="49" spans="1:10" ht="47.25" x14ac:dyDescent="0.25">
      <c r="A49" s="257" t="s">
        <v>496</v>
      </c>
      <c r="B49" s="258" t="s">
        <v>497</v>
      </c>
      <c r="C49" s="255">
        <v>44072</v>
      </c>
      <c r="D49" s="255">
        <v>45565</v>
      </c>
      <c r="E49" s="255">
        <v>44191</v>
      </c>
      <c r="F49" s="255">
        <v>45655</v>
      </c>
      <c r="G49" s="263" t="s">
        <v>591</v>
      </c>
      <c r="H49" s="263" t="s">
        <v>425</v>
      </c>
      <c r="I49" s="257" t="s">
        <v>592</v>
      </c>
      <c r="J49" s="257" t="s">
        <v>425</v>
      </c>
    </row>
    <row r="50" spans="1:10" ht="47.25" x14ac:dyDescent="0.25">
      <c r="A50" s="257" t="s">
        <v>498</v>
      </c>
      <c r="B50" s="258" t="s">
        <v>499</v>
      </c>
      <c r="C50" s="255" t="s">
        <v>425</v>
      </c>
      <c r="D50" s="255" t="s">
        <v>425</v>
      </c>
      <c r="E50" s="255" t="s">
        <v>425</v>
      </c>
      <c r="F50" s="255" t="s">
        <v>425</v>
      </c>
      <c r="G50" s="263" t="s">
        <v>425</v>
      </c>
      <c r="H50" s="263" t="s">
        <v>425</v>
      </c>
      <c r="I50" s="257">
        <v>0</v>
      </c>
      <c r="J50" s="257" t="s">
        <v>425</v>
      </c>
    </row>
    <row r="51" spans="1:10" ht="31.5" x14ac:dyDescent="0.25">
      <c r="A51" s="257" t="s">
        <v>500</v>
      </c>
      <c r="B51" s="258" t="s">
        <v>501</v>
      </c>
      <c r="C51" s="255" t="s">
        <v>425</v>
      </c>
      <c r="D51" s="255" t="s">
        <v>425</v>
      </c>
      <c r="E51" s="255" t="s">
        <v>425</v>
      </c>
      <c r="F51" s="255" t="s">
        <v>425</v>
      </c>
      <c r="G51" s="263" t="s">
        <v>425</v>
      </c>
      <c r="H51" s="263" t="s">
        <v>425</v>
      </c>
      <c r="I51" s="257">
        <v>0</v>
      </c>
      <c r="J51" s="257" t="s">
        <v>425</v>
      </c>
    </row>
    <row r="52" spans="1:10" ht="31.5" x14ac:dyDescent="0.25">
      <c r="A52" s="259" t="s">
        <v>502</v>
      </c>
      <c r="B52" s="258" t="s">
        <v>503</v>
      </c>
      <c r="C52" s="255" t="s">
        <v>425</v>
      </c>
      <c r="D52" s="255" t="s">
        <v>425</v>
      </c>
      <c r="E52" s="255" t="s">
        <v>425</v>
      </c>
      <c r="F52" s="255" t="s">
        <v>425</v>
      </c>
      <c r="G52" s="263" t="s">
        <v>425</v>
      </c>
      <c r="H52" s="263" t="s">
        <v>425</v>
      </c>
      <c r="I52" s="257">
        <v>0</v>
      </c>
      <c r="J52" s="257" t="s">
        <v>425</v>
      </c>
    </row>
    <row r="53" spans="1:10" x14ac:dyDescent="0.25">
      <c r="A53" s="257" t="s">
        <v>504</v>
      </c>
      <c r="B53" s="264" t="s">
        <v>505</v>
      </c>
      <c r="C53" s="255">
        <v>45565</v>
      </c>
      <c r="D53" s="255">
        <v>45657</v>
      </c>
      <c r="E53" s="255">
        <v>44196</v>
      </c>
      <c r="F53" s="255">
        <v>45656</v>
      </c>
      <c r="G53" s="263" t="s">
        <v>591</v>
      </c>
      <c r="H53" s="263" t="s">
        <v>425</v>
      </c>
      <c r="I53" s="257">
        <v>0</v>
      </c>
      <c r="J53" s="257" t="s">
        <v>425</v>
      </c>
    </row>
    <row r="54" spans="1:10" x14ac:dyDescent="0.25">
      <c r="A54" s="257" t="s">
        <v>506</v>
      </c>
      <c r="B54" s="258" t="s">
        <v>507</v>
      </c>
      <c r="C54" s="255" t="s">
        <v>425</v>
      </c>
      <c r="D54" s="255" t="s">
        <v>425</v>
      </c>
      <c r="E54" s="255" t="s">
        <v>425</v>
      </c>
      <c r="F54" s="255" t="s">
        <v>425</v>
      </c>
      <c r="G54" s="263" t="s">
        <v>425</v>
      </c>
      <c r="H54" s="263" t="s">
        <v>425</v>
      </c>
      <c r="I54" s="257">
        <v>0</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2024-11-14T09:35:32Z</dcterms:modified>
</cp:coreProperties>
</file>