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AC16A4E1-6156-4737-A66F-2345AD56080D}"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1"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6" i="5" l="1"/>
  <c r="AE86" i="5"/>
  <c r="AE83" i="5"/>
  <c r="AE27" i="5"/>
  <c r="AE77" i="5"/>
  <c r="AE39"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<sst xmlns="http://schemas.openxmlformats.org/spreadsheetml/2006/main" count="4525" uniqueCount="556">
  <si>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</si>
  <si>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</si>
  <si>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</si>
  <si>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</si>
  <si>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</si>
  <si>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</si>
  <si>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</si>
  <si>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</si>
  <si>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</si>
  <si>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</si>
  <si>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</si>
  <si>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</si>
  <si>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</si>
  <si>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</si>
  <si>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</si>
  <si>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</si>
  <si>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</si>
  <si>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</si>
  <si>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</si>
  <si>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</si>
  <si>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</si>
  <si>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</si>
  <si>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</si>
  <si>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</si>
  <si>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</si>
  <si>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</si>
  <si>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</si>
  <si>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</si>
  <si>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</si>
  <si>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</si>
  <si>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</si>
  <si>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</si>
  <si>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</si>
  <si>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</si>
  <si>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</si>
  <si>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</si>
  <si>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</si>
  <si>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</si>
  <si>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</si>
  <si>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</si>
  <si>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</si>
  <si>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</si>
  <si>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</si>
  <si>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</si>
  <si>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</si>
  <si>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</si>
  <si>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</si>
  <si>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</si>
  <si>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</si>
  <si>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</si>
  <si>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</si>
  <si>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</si>
  <si>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</si>
  <si>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</si>
  <si>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</si>
  <si>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</si>
  <si>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</si>
  <si>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</si>
  <si>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</si>
  <si>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</si>
  <si>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</si>
  <si>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</si>
  <si>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</si>
  <si>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</si>
  <si>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</si>
  <si>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</si>
  <si>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</si>
  <si>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</si>
  <si>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</si>
  <si>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</si>
  <si>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</si>
  <si>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</si>
  <si>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</si>
  <si>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</si>
  <si>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</si>
  <si>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</si>
  <si>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</si>
  <si>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</si>
  <si>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</si>
  <si>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</si>
  <si>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</si>
  <si>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</si>
  <si>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</si>
  <si>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</si>
  <si>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</si>
  <si>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</si>
  <si>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</si>
  <si>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</si>
  <si>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</si>
  <si>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</si>
  <si>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</si>
  <si>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</si>
  <si>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</si>
  <si>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</si>
  <si>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</si>
  <si>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</si>
  <si>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</si>
  <si>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</si>
  <si>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</si>
  <si>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</si>
  <si>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</si>
  <si>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</si>
  <si>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</si>
  <si>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</si>
  <si>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</si>
  <si>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</si>
  <si>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</si>
  <si>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</si>
  <si>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</si>
  <si>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</si>
  <si>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</si>
  <si>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</si>
  <si>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</si>
  <si>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</si>
  <si>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</si>
  <si>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</si>
  <si>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</si>
  <si>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</si>
  <si>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</si>
  <si>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</si>
  <si>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</si>
  <si>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</si>
  <si>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</si>
  <si>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</si>
  <si>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</si>
  <si>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</si>
  <si>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</si>
  <si>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</si>
  <si>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</si>
  <si>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</si>
  <si>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</si>
  <si>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</si>
  <si>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</si>
  <si>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</si>
  <si>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</si>
  <si>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</si>
  <si>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</si>
  <si>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</si>
  <si>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</si>
  <si>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</si>
  <si>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</si>
  <si>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</si>
  <si>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</si>
  <si>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</si>
  <si>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</si>
  <si>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</si>
  <si>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</si>
  <si>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</si>
  <si>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</si>
  <si>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</si>
  <si>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</si>
  <si>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</si>
  <si>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</si>
  <si>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</si>
  <si>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</si>
  <si>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</si>
  <si>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</si>
  <si>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</si>
  <si>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</si>
  <si>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</si>
  <si>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</si>
  <si>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</si>
  <si>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</si>
  <si>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</si>
  <si>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</si>
  <si>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</si>
  <si>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</si>
  <si>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</si>
  <si>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</si>
  <si>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</si>
  <si>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</si>
  <si>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</si>
  <si>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</si>
  <si>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</si>
  <si>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</si>
  <si>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</si>
  <si>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</si>
  <si>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</si>
  <si>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</si>
  <si>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</si>
  <si>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</si>
  <si>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</si>
  <si>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</si>
  <si>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</si>
  <si>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</si>
  <si>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</si>
  <si>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</si>
  <si>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</si>
  <si>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</si>
  <si>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</si>
  <si>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</si>
  <si>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</si>
  <si>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</si>
  <si>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</si>
  <si>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</si>
  <si>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</si>
  <si>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</si>
  <si>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</si>
  <si>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</si>
  <si>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</si>
  <si>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</si>
  <si>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</si>
  <si>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</si>
  <si>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</si>
  <si>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</si>
  <si>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</si>
  <si>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</si>
  <si>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</si>
  <si>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</si>
  <si>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</si>
  <si>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</si>
  <si>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</si>
  <si>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</si>
  <si>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</si>
  <si>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</si>
  <si>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</si>
  <si>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</si>
  <si>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</si>
  <si>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</si>
  <si>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</si>
  <si>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</si>
  <si>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</si>
  <si>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</si>
  <si>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</si>
  <si>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</si>
  <si>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</si>
  <si>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</si>
  <si>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</si>
  <si>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</si>
  <si>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</si>
  <si>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</si>
  <si>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</si>
  <si>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</si>
  <si>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</si>
  <si>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</si>
  <si>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</si>
  <si>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</si>
  <si>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</si>
  <si>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</si>
  <si>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</si>
  <si>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</si>
  <si>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</si>
  <si>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</si>
  <si>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</si>
  <si>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</si>
  <si>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</si>
  <si>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</si>
  <si>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</si>
  <si>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</si>
  <si>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</si>
  <si>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</si>
  <si>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</si>
  <si>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</si>
  <si>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</si>
  <si>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</si>
  <si>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</si>
  <si>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</si>
  <si>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</si>
  <si>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</si>
  <si>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</si>
  <si>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</si>
  <si>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</si>
  <si>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</si>
  <si>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</si>
  <si>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</si>
  <si>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</si>
  <si>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</si>
  <si>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</si>
  <si>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</si>
  <si>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</si>
  <si>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</si>
  <si>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</si>
  <si>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</si>
  <si>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</si>
  <si>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</si>
  <si>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</si>
  <si>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</si>
  <si>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</si>
  <si>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</si>
  <si>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</si>
  <si>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</si>
  <si>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</si>
  <si>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</si>
  <si>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</si>
  <si>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</si>
  <si>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</si>
  <si>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</si>
  <si>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</si>
  <si>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</si>
  <si>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</si>
  <si>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</si>
  <si>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</si>
  <si>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</si>
  <si>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</si>
  <si>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</si>
  <si>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</si>
  <si>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</si>
  <si>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</si>
  <si>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</si>
  <si>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</si>
  <si>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</si>
  <si>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</si>
  <si>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</si>
  <si>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</si>
  <si>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</si>
  <si>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</si>
  <si>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</si>
  <si>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</si>
  <si>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</si>
  <si>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</si>
  <si>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</si>
  <si>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</si>
  <si>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</si>
  <si>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</si>
  <si>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</si>
  <si>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</si>
  <si>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</si>
  <si>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</si>
  <si>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</si>
  <si>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</si>
  <si>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</si>
  <si>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</si>
  <si>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</si>
  <si>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</si>
  <si>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</si>
  <si>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</si>
  <si>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</si>
  <si>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</si>
  <si>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</si>
  <si>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</si>
  <si>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</si>
  <si>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</si>
  <si>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</si>
  <si>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</si>
  <si>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</si>
  <si>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</si>
  <si>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</si>
  <si>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</si>
  <si>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</si>
  <si>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</si>
  <si>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</si>
  <si>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</si>
  <si>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</si>
  <si>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</si>
  <si>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</si>
  <si>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</si>
  <si>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</si>
  <si>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</si>
  <si>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</si>
  <si>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</si>
  <si>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</si>
  <si>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</si>
  <si>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</si>
  <si>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</si>
  <si>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</si>
  <si>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</si>
  <si>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</si>
  <si>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</si>
  <si>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</si>
  <si>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</si>
  <si>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</si>
  <si>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</si>
  <si>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</si>
  <si>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</si>
  <si>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</si>
  <si>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</si>
  <si>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</si>
  <si>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</si>
  <si>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</si>
  <si>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</si>
  <si>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</si>
  <si>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</si>
  <si>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</si>
  <si>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</si>
  <si>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</si>
  <si>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</si>
  <si>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</si>
  <si>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</si>
  <si>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</si>
  <si>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</si>
  <si>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</si>
  <si>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</si>
  <si>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</si>
  <si>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</si>
  <si>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</si>
  <si>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</si>
  <si>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</si>
  <si>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</si>
  <si>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</si>
  <si>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</si>
  <si>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</si>
  <si>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</si>
  <si>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</si>
  <si>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</si>
  <si>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</si>
  <si>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</si>
  <si>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</si>
  <si>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</si>
  <si>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</si>
  <si>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</si>
  <si>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</si>
  <si>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</si>
  <si>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</si>
  <si>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</si>
  <si>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</si>
  <si>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</si>
  <si>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</si>
  <si>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</si>
  <si>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</si>
  <si>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</si>
  <si>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</si>
  <si>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</si>
  <si>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</si>
  <si>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</si>
  <si>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</si>
  <si>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</si>
  <si>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</si>
  <si>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</si>
  <si>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</si>
  <si>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</si>
  <si>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</si>
  <si>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</si>
  <si>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</si>
  <si>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</si>
  <si>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</si>
  <si>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</si>
  <si>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</si>
  <si>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</si>
  <si>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</si>
  <si>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</si>
  <si>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</si>
  <si>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</si>
  <si>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</si>
  <si>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</si>
  <si>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</si>
  <si>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</si>
  <si>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</si>
  <si>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</si>
  <si>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</si>
  <si>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</si>
  <si>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</si>
  <si>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</si>
  <si>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</si>
  <si>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в части замены устройств РЗА присоединений ОВ-110-220</t>
  </si>
  <si>
    <t>Утвержденный план</t>
  </si>
  <si>
    <t>Предложение по корректировке утвержденного плана</t>
  </si>
  <si>
    <t>по состоянию на 01.01.2024 года</t>
  </si>
  <si>
    <t>M_00.0021.000021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</si>
  <si>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</si>
  <si>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</si>
  <si>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</si>
  <si>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</si>
  <si>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</si>
  <si>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</si>
  <si>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</si>
  <si>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</si>
  <si>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</si>
  <si>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</si>
  <si>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</si>
  <si>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</si>
  <si>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</si>
  <si>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</si>
  <si>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</si>
  <si>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</si>
  <si>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</si>
  <si>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</si>
  <si>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</si>
  <si>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</si>
  <si>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</si>
  <si>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</si>
  <si>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</si>
  <si>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</si>
  <si>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</si>
  <si>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</si>
  <si>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</si>
  <si>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</si>
  <si>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</si>
  <si>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</si>
  <si>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</si>
  <si>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</si>
  <si>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</si>
  <si>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</si>
  <si>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</si>
  <si>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</si>
  <si>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</si>
  <si>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</si>
  <si>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</si>
  <si>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</si>
  <si>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</si>
  <si>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</si>
  <si>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</si>
  <si>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</si>
  <si>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</si>
  <si>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</si>
  <si>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</si>
  <si>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</si>
  <si>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</si>
  <si>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</si>
  <si>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</si>
  <si>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</si>
  <si>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</si>
  <si>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</si>
  <si>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</si>
  <si>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</si>
  <si>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</si>
  <si>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</si>
  <si>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</si>
  <si>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</si>
  <si>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по причине невозможности вывода оборудования в ремонт в следствии длительного выполнения работ по инвестиционному проекту 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 а также изменением сметной стоимости в связи с дважды несостоявшимися закупочными процедурами с учетом актуализации стоимости ПИР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</si>
  <si>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t>
  </si>
  <si>
    <t>Выполнение строительно-монтажных и пусконаладочных работ по проекту «Реконструкция ПС 220 кВ Восточная в части замены устройств РЗА
присоединений ОВ-110-220»</t>
  </si>
  <si>
    <t>АО "Электромагистраль"</t>
  </si>
  <si>
    <t>Запрос предложений в электронной форме</t>
  </si>
  <si>
    <t>ОБЩЕСТВО С ОГРАНИЧЕННОЙ ОТВЕТСТВЕННОСТЬЮ "ЭКРА-СИБИРЬ"</t>
  </si>
  <si>
    <t>-</t>
  </si>
  <si>
    <t>32312488269</t>
  </si>
  <si>
    <t>да</t>
  </si>
  <si>
    <t>https://www.roseltorg.ru/</t>
  </si>
  <si>
    <t>ИП</t>
  </si>
  <si>
    <t>ООО «ЭКРА-Сибирь»</t>
  </si>
  <si>
    <t>ИП-23-00250 от 01.08.2023</t>
  </si>
  <si>
    <t>ПИР</t>
  </si>
  <si>
    <t>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t>
  </si>
  <si>
    <t>Регламент определения начальной (максимальной) цены договора на закупку товаров (работ, услуг) АО "Электромагистраль"</t>
  </si>
  <si>
    <t>Несостоявшаяся закупочная процедура (низкая стоимость лота)</t>
  </si>
  <si>
    <t>закупочная процедура не состоялась</t>
  </si>
  <si>
    <t xml:space="preserve">Выполнение проектно-изыскательских работ по проекту "Реконструкция ПС 220 кВ Восточная в части замены устройств РЗА присоединений ОВ-110-220» </t>
  </si>
  <si>
    <t>ОБЩЕСТВО С ОГРАНИЧЕННОЙ ОТВЕТСТВЕННОСТЬЮ "АКД-ПРОЕКТ"; ОБЩЕСТВО С ОГРАНИЧЕННОЙ ОТВЕТСТВЕННОСТЬЮ "ИНСТИТУТ ПРОЕКТИРОВАНИЯ ЭНЕРГЕТИЧЕСКИХ СИСТЕМ"; ОБЩЕСТВО С ОГРАНИЧЕННОЙ ОТВЕТСТВЕННОСТЬЮ "ЭКРА-СИБИРЬ"; ОБЩЕСТВО С ОГРАНИЧЕННОЙ ОТВЕТСТВЕННОСТЬЮ "СЕТИ СКС"; ОБЩЕСТВО С ОГРАНИЧЕННОЙ ОТВЕТСТВЕННОСТЬЮ "ЭНЕРДЖИ  ПРОЕКТ"</t>
  </si>
  <si>
    <t>476,03; 2020,00; 595,03; 810,00; 545,00</t>
  </si>
  <si>
    <t>382,50;  2020,00; 460,00; 810,00; 425,01</t>
  </si>
  <si>
    <t>ООО "АКД-Проект"</t>
  </si>
  <si>
    <t>ИП-22-00084 от 12.04.2022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</si>
  <si>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</si>
  <si>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</si>
  <si>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</si>
  <si>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421 от 23.05.2023; 
№ 421/1 от 11.09.2023</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</si>
  <si>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</si>
  <si>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</si>
  <si>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</si>
  <si>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</si>
  <si>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</si>
  <si>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</si>
  <si>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Модернизации устройств и комплексов РЗА на ПС позволит достигнуть:
- снижения отказов и ложной работы устройств РЗА;
- снижения операционных расходов на обслуживание РЗА, уменьшение размеров повреждения электроустановок при быстром отключении КЗ и осуществления современной защиты электрооборудования от опасных ненормальных режимов;
- повышения безопасности обслуживающего персонала.</t>
  </si>
  <si>
    <t>ПС 220 кВ Восточная</t>
  </si>
  <si>
    <t>6498,57 тыс. руб. с НДС на 1 РЗА ОВ</t>
  </si>
  <si>
    <t>Выделение этапов не предусмотрено</t>
  </si>
  <si>
    <t>Объект включён в инвестиционную программу на основании оценки технического состояния систем РЗА. Оборудование не соответсвует требованиям нормативной и технической документации (инструкции по эксплуатации, заводсткие ремонтные документы и т.д.). Расчет индекса технического состояния для оборудования включенного в данный инвестиционный проект не проводился, т.к. методикой, утверждённой приказом Минэнерго России от 26.07.2017 № 676 рассчет данного индекса не предусмотрен.</t>
  </si>
  <si>
    <t>1С, 2П</t>
  </si>
  <si>
    <t>Сибирский Федеральный округ, Новосибирская область, г. Новосибирск</t>
  </si>
  <si>
    <t>1;2</t>
  </si>
  <si>
    <t/>
  </si>
  <si>
    <t>1;2;3;4</t>
  </si>
  <si>
    <t>КВЛ по состоянию на 01.10.2024, тыс. руб. без НДС (без ФОТ)</t>
  </si>
  <si>
    <t>ФИН по состоянию на 01.10.2024, тыс. руб. с НДС (без взаимозачетов)</t>
  </si>
  <si>
    <t>100%</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</si>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</sst>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12.997143823881233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4.7269418148839994</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M_00.0021.000021</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Восточная в части замены устройств РЗА присоединений ОВ-110-220</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444</v>
      </c>
      <c r="I21" s="448"/>
      <c r="J21" s="447" t="s">
        <v>445</v>
      </c>
      <c r="K21" s="447"/>
      <c r="L21" s="448" t="s">
        <v>444</v>
      </c>
      <c r="M21" s="448"/>
      <c r="N21" s="447" t="s">
        <v>445</v>
      </c>
      <c r="O21" s="447"/>
      <c r="P21" s="446" t="s">
        <v>1</v>
      </c>
      <c r="Q21" s="446"/>
      <c r="R21" s="447" t="s">
        <v>445</v>
      </c>
      <c r="S21" s="447"/>
      <c r="T21" s="446" t="s">
        <v>1</v>
      </c>
      <c r="U21" s="446"/>
      <c r="V21" s="447" t="s">
        <v>445</v>
      </c>
      <c r="W21" s="447"/>
      <c r="X21" s="446" t="s">
        <v>1</v>
      </c>
      <c r="Y21" s="446"/>
      <c r="Z21" s="447" t="s">
        <v>445</v>
      </c>
      <c r="AA21" s="447"/>
      <c r="AB21" s="463"/>
      <c r="AC21" s="464"/>
    </row>
    <row r="22" spans="1:32" ht="89.25" customHeight="1" x14ac:dyDescent="0.25">
      <c r="A22" s="458"/>
      <c r="B22" s="458"/>
      <c r="C22" s="274" t="str">
        <f>H21</f>
        <v>Утвержденный план</v>
      </c>
      <c r="D22" s="283" t="s">
        <v>445</v>
      </c>
      <c r="E22" s="287" t="s">
        <v>446</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10.526809630561104</v>
      </c>
      <c r="D24" s="279">
        <f t="shared" si="0"/>
        <v>12.997143823881233</v>
      </c>
      <c r="E24" s="284">
        <f t="shared" si="0"/>
        <v>7.9271996889371366</v>
      </c>
      <c r="F24" s="284">
        <f t="shared" si="0"/>
        <v>7.9271996889371357</v>
      </c>
      <c r="G24" s="267">
        <f t="shared" si="0"/>
        <v>0</v>
      </c>
      <c r="H24" s="267">
        <f t="shared" si="0"/>
        <v>4.7269418148839994</v>
      </c>
      <c r="I24" s="267" t="s">
        <v>425</v>
      </c>
      <c r="J24" s="279">
        <f t="shared" ref="J24:N24" si="1">J25+J26+J27+J32+J33</f>
        <v>7.9271996889371357</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4.7269418148839994</v>
      </c>
      <c r="AC24" s="284">
        <f>AC25+AC26+AC27+AC32+AC33</f>
        <v>7.9271996889371357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8.8164734687471036</v>
      </c>
      <c r="D27" s="279">
        <v>10.843844780167881</v>
      </c>
      <c r="E27" s="285">
        <f>J27+N27+G27+P27+T27+X27</f>
        <v>6.5382674077358311</v>
      </c>
      <c r="F27" s="285">
        <f t="shared" si="8"/>
        <v>6.6167946577358308</v>
      </c>
      <c r="G27" s="267">
        <v>-7.8527249999999979E-2</v>
      </c>
      <c r="H27" s="267">
        <f>SUM(H28:H31)</f>
        <v>3.9391181790699998</v>
      </c>
      <c r="I27" s="267" t="s">
        <v>425</v>
      </c>
      <c r="J27" s="279">
        <f t="shared" ref="J27" si="9">SUM(J28:J31)</f>
        <v>6.6167946577358308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3.9391181790699998</v>
      </c>
      <c r="AC27" s="284">
        <f>J27+N27+R27+V27+Z27</f>
        <v>6.6167946577358308</v>
      </c>
    </row>
    <row r="28" spans="1:32" x14ac:dyDescent="0.25">
      <c r="A28" s="58" t="s">
        <v>426</v>
      </c>
      <c r="B28" s="42" t="s">
        <v>168</v>
      </c>
      <c r="C28" s="268" t="s">
        <v>425</v>
      </c>
      <c r="D28" s="281" t="s">
        <v>425</v>
      </c>
      <c r="E28" s="281" t="s">
        <v>425</v>
      </c>
      <c r="F28" s="281" t="s">
        <v>425</v>
      </c>
      <c r="G28" s="266" t="s">
        <v>425</v>
      </c>
      <c r="H28" s="266">
        <v>0</v>
      </c>
      <c r="I28" s="268" t="s">
        <v>550</v>
      </c>
      <c r="J28" s="280">
        <v>2.272439334852137</v>
      </c>
      <c r="K28" s="281" t="s">
        <v>549</v>
      </c>
      <c r="L28" s="266">
        <v>0</v>
      </c>
      <c r="M28" s="268" t="s">
        <v>550</v>
      </c>
      <c r="N28" s="280">
        <v>0</v>
      </c>
      <c r="O28" s="281" t="s">
        <v>550</v>
      </c>
      <c r="P28" s="154">
        <v>0</v>
      </c>
      <c r="Q28" s="154" t="s">
        <v>550</v>
      </c>
      <c r="R28" s="280">
        <v>0</v>
      </c>
      <c r="S28" s="281">
        <v>0</v>
      </c>
      <c r="T28" s="154">
        <v>0</v>
      </c>
      <c r="U28" s="154" t="s">
        <v>550</v>
      </c>
      <c r="V28" s="280">
        <v>0</v>
      </c>
      <c r="W28" s="281">
        <v>0</v>
      </c>
      <c r="X28" s="154">
        <v>0</v>
      </c>
      <c r="Y28" s="154" t="s">
        <v>550</v>
      </c>
      <c r="Z28" s="280">
        <v>0</v>
      </c>
      <c r="AA28" s="281">
        <v>0</v>
      </c>
      <c r="AB28" s="267">
        <f t="shared" ref="AB28:AB31" si="17">H28+L28+P28+T28+X28</f>
        <v>0</v>
      </c>
      <c r="AC28" s="284">
        <f>J28+N28+R28+V28+Z28</f>
        <v>2.272439334852137</v>
      </c>
    </row>
    <row r="29" spans="1:32" ht="31.5" x14ac:dyDescent="0.25">
      <c r="A29" s="58" t="s">
        <v>427</v>
      </c>
      <c r="B29" s="42" t="s">
        <v>166</v>
      </c>
      <c r="C29" s="268" t="s">
        <v>425</v>
      </c>
      <c r="D29" s="281" t="s">
        <v>425</v>
      </c>
      <c r="E29" s="281" t="s">
        <v>425</v>
      </c>
      <c r="F29" s="281" t="s">
        <v>425</v>
      </c>
      <c r="G29" s="266" t="s">
        <v>425</v>
      </c>
      <c r="H29" s="266">
        <v>1.4549489770349999</v>
      </c>
      <c r="I29" s="268" t="s">
        <v>63</v>
      </c>
      <c r="J29" s="280">
        <v>1.5308274546686329</v>
      </c>
      <c r="K29" s="281" t="s">
        <v>59</v>
      </c>
      <c r="L29" s="266">
        <v>0</v>
      </c>
      <c r="M29" s="268" t="s">
        <v>550</v>
      </c>
      <c r="N29" s="280">
        <v>0</v>
      </c>
      <c r="O29" s="281" t="s">
        <v>550</v>
      </c>
      <c r="P29" s="154">
        <v>0</v>
      </c>
      <c r="Q29" s="288" t="s">
        <v>550</v>
      </c>
      <c r="R29" s="280">
        <v>0</v>
      </c>
      <c r="S29" s="281">
        <v>0</v>
      </c>
      <c r="T29" s="154">
        <v>0</v>
      </c>
      <c r="U29" s="154" t="s">
        <v>550</v>
      </c>
      <c r="V29" s="280">
        <v>0</v>
      </c>
      <c r="W29" s="281">
        <v>0</v>
      </c>
      <c r="X29" s="154">
        <v>0</v>
      </c>
      <c r="Y29" s="154" t="s">
        <v>550</v>
      </c>
      <c r="Z29" s="280">
        <v>0</v>
      </c>
      <c r="AA29" s="281">
        <v>0</v>
      </c>
      <c r="AB29" s="267">
        <f t="shared" si="17"/>
        <v>1.4549489770349999</v>
      </c>
      <c r="AC29" s="284">
        <f>J29+N29+R29+V29+Z29</f>
        <v>1.5308274546686329</v>
      </c>
      <c r="AD29" s="213"/>
      <c r="AE29" s="269"/>
    </row>
    <row r="30" spans="1:32" x14ac:dyDescent="0.25">
      <c r="A30" s="58" t="s">
        <v>428</v>
      </c>
      <c r="B30" s="42" t="s">
        <v>164</v>
      </c>
      <c r="C30" s="268" t="s">
        <v>425</v>
      </c>
      <c r="D30" s="281" t="s">
        <v>425</v>
      </c>
      <c r="E30" s="281" t="s">
        <v>425</v>
      </c>
      <c r="F30" s="281" t="s">
        <v>425</v>
      </c>
      <c r="G30" s="266" t="s">
        <v>425</v>
      </c>
      <c r="H30" s="266">
        <v>1.6567598060174999</v>
      </c>
      <c r="I30" s="268" t="s">
        <v>63</v>
      </c>
      <c r="J30" s="280">
        <v>1.7431631190335943</v>
      </c>
      <c r="K30" s="281" t="s">
        <v>59</v>
      </c>
      <c r="L30" s="266">
        <v>0</v>
      </c>
      <c r="M30" s="268" t="s">
        <v>550</v>
      </c>
      <c r="N30" s="280">
        <v>0</v>
      </c>
      <c r="O30" s="281" t="s">
        <v>550</v>
      </c>
      <c r="P30" s="154">
        <v>0</v>
      </c>
      <c r="Q30" s="154" t="s">
        <v>550</v>
      </c>
      <c r="R30" s="280">
        <v>0</v>
      </c>
      <c r="S30" s="281">
        <v>0</v>
      </c>
      <c r="T30" s="154">
        <v>0</v>
      </c>
      <c r="U30" s="154" t="s">
        <v>550</v>
      </c>
      <c r="V30" s="280">
        <v>0</v>
      </c>
      <c r="W30" s="281">
        <v>0</v>
      </c>
      <c r="X30" s="154">
        <v>0</v>
      </c>
      <c r="Y30" s="154" t="s">
        <v>550</v>
      </c>
      <c r="Z30" s="280">
        <v>0</v>
      </c>
      <c r="AA30" s="281">
        <v>0</v>
      </c>
      <c r="AB30" s="267">
        <f t="shared" si="17"/>
        <v>1.6567598060174999</v>
      </c>
      <c r="AC30" s="284">
        <f>J30+N30+R30+V30+Z30</f>
        <v>1.7431631190335943</v>
      </c>
      <c r="AD30" s="213"/>
      <c r="AE30" s="269"/>
    </row>
    <row r="31" spans="1:32" x14ac:dyDescent="0.25">
      <c r="A31" s="58" t="s">
        <v>429</v>
      </c>
      <c r="B31" s="42" t="s">
        <v>162</v>
      </c>
      <c r="C31" s="268" t="s">
        <v>425</v>
      </c>
      <c r="D31" s="281" t="s">
        <v>425</v>
      </c>
      <c r="E31" s="281" t="s">
        <v>425</v>
      </c>
      <c r="F31" s="281" t="s">
        <v>425</v>
      </c>
      <c r="G31" s="266" t="s">
        <v>425</v>
      </c>
      <c r="H31" s="266">
        <v>0.82740939601749997</v>
      </c>
      <c r="I31" s="268" t="s">
        <v>63</v>
      </c>
      <c r="J31" s="280">
        <v>1.0703647491814663</v>
      </c>
      <c r="K31" s="281" t="s">
        <v>551</v>
      </c>
      <c r="L31" s="266">
        <v>0</v>
      </c>
      <c r="M31" s="268" t="s">
        <v>550</v>
      </c>
      <c r="N31" s="280">
        <v>0</v>
      </c>
      <c r="O31" s="281" t="s">
        <v>550</v>
      </c>
      <c r="P31" s="154">
        <v>0</v>
      </c>
      <c r="Q31" s="154" t="s">
        <v>550</v>
      </c>
      <c r="R31" s="280">
        <v>0</v>
      </c>
      <c r="S31" s="281">
        <v>0</v>
      </c>
      <c r="T31" s="154">
        <v>0</v>
      </c>
      <c r="U31" s="154" t="s">
        <v>550</v>
      </c>
      <c r="V31" s="280">
        <v>0</v>
      </c>
      <c r="W31" s="281">
        <v>0</v>
      </c>
      <c r="X31" s="154">
        <v>0</v>
      </c>
      <c r="Y31" s="154" t="s">
        <v>550</v>
      </c>
      <c r="Z31" s="280">
        <v>0</v>
      </c>
      <c r="AA31" s="281">
        <v>0</v>
      </c>
      <c r="AB31" s="267">
        <f t="shared" si="17"/>
        <v>0.82740939601749997</v>
      </c>
      <c r="AC31" s="284">
        <f>J31+N31+R31+V31+Z31</f>
        <v>1.0703647491814663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1.7103361618140007</v>
      </c>
      <c r="D33" s="280">
        <v>2.1532990437133521</v>
      </c>
      <c r="E33" s="285">
        <f>J33+N33+G33+P33+T33+X33</f>
        <v>1.3889322812013052</v>
      </c>
      <c r="F33" s="285">
        <f t="shared" ref="F33" si="18">E33-G33</f>
        <v>1.3104050312013051</v>
      </c>
      <c r="G33" s="266">
        <v>7.8527249999999979E-2</v>
      </c>
      <c r="H33" s="266">
        <v>0.78782363581399972</v>
      </c>
      <c r="I33" s="266" t="str">
        <f>I31</f>
        <v>1</v>
      </c>
      <c r="J33" s="280">
        <v>1.3104050312013051</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0.78782363581399972</v>
      </c>
      <c r="AC33" s="280">
        <f>Z33+N33+J33+R33+V33</f>
        <v>1.3104050312013051</v>
      </c>
    </row>
    <row r="34" spans="1:30" ht="47.25" x14ac:dyDescent="0.25">
      <c r="A34" s="60" t="s">
        <v>61</v>
      </c>
      <c r="B34" s="59" t="s">
        <v>170</v>
      </c>
      <c r="C34" s="267">
        <f>SUM(C35:C38)</f>
        <v>8.8164734687471036</v>
      </c>
      <c r="D34" s="279">
        <f t="shared" ref="D34:G34" si="19">SUM(D35:D38)</f>
        <v>10.857623778540948</v>
      </c>
      <c r="E34" s="285">
        <f t="shared" ref="E34" si="20">J34+N34+G34+P34+T34+X34</f>
        <v>6.6295384185409478</v>
      </c>
      <c r="F34" s="279">
        <f t="shared" si="19"/>
        <v>5.5752683799871026</v>
      </c>
      <c r="G34" s="267">
        <f t="shared" si="19"/>
        <v>1.0542700385538448</v>
      </c>
      <c r="H34" s="267">
        <f>SUM(H35:H38)</f>
        <v>0</v>
      </c>
      <c r="I34" s="267" t="s">
        <v>425</v>
      </c>
      <c r="J34" s="279">
        <f t="shared" ref="J34" si="21">SUM(J35:J38)</f>
        <v>5.5752683799871026</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5.5752683799871026</v>
      </c>
      <c r="AD34" s="213"/>
    </row>
    <row r="35" spans="1:30" x14ac:dyDescent="0.25">
      <c r="A35" s="60" t="s">
        <v>169</v>
      </c>
      <c r="B35" s="42" t="s">
        <v>168</v>
      </c>
      <c r="C35" s="266">
        <v>0.77513624999999997</v>
      </c>
      <c r="D35" s="280">
        <v>2.6512319817947079</v>
      </c>
      <c r="E35" s="285">
        <f>J35+N35+G35+P35+T35+X35</f>
        <v>2.2687319817947076</v>
      </c>
      <c r="F35" s="285">
        <f>E35-G35</f>
        <v>1.2144619432408628</v>
      </c>
      <c r="G35" s="266">
        <v>1.0542700385538448</v>
      </c>
      <c r="H35" s="266">
        <v>0</v>
      </c>
      <c r="I35" s="266">
        <v>0</v>
      </c>
      <c r="J35" s="280">
        <v>1.2144619432408628</v>
      </c>
      <c r="K35" s="281" t="s">
        <v>61</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1.2144619432408628</v>
      </c>
      <c r="AD35" s="210"/>
    </row>
    <row r="36" spans="1:30" ht="31.5" x14ac:dyDescent="0.25">
      <c r="A36" s="60" t="s">
        <v>167</v>
      </c>
      <c r="B36" s="42" t="s">
        <v>166</v>
      </c>
      <c r="C36" s="266">
        <v>2.872337167035</v>
      </c>
      <c r="D36" s="280">
        <v>2.9282284884076799</v>
      </c>
      <c r="E36" s="285">
        <f>J36+N36+G36+P36+T36+X36</f>
        <v>1.5283299984076797</v>
      </c>
      <c r="F36" s="285">
        <f t="shared" ref="F36:F37" si="30">E36-G36</f>
        <v>1.5283299984076797</v>
      </c>
      <c r="G36" s="266">
        <v>0</v>
      </c>
      <c r="H36" s="266">
        <v>0</v>
      </c>
      <c r="I36" s="266">
        <v>0</v>
      </c>
      <c r="J36" s="280">
        <v>1.5283299984076797</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1.5283299984076797</v>
      </c>
    </row>
    <row r="37" spans="1:30" x14ac:dyDescent="0.25">
      <c r="A37" s="60" t="s">
        <v>165</v>
      </c>
      <c r="B37" s="42" t="s">
        <v>164</v>
      </c>
      <c r="C37" s="266">
        <v>3.2707489010174995</v>
      </c>
      <c r="D37" s="280">
        <v>3.4076321894438397</v>
      </c>
      <c r="E37" s="285">
        <f>J37+N37+G37+P37+T37+X37</f>
        <v>1.74031924944384</v>
      </c>
      <c r="F37" s="285">
        <f t="shared" si="30"/>
        <v>1.74031924944384</v>
      </c>
      <c r="G37" s="266">
        <v>0</v>
      </c>
      <c r="H37" s="266">
        <v>0</v>
      </c>
      <c r="I37" s="266">
        <v>0</v>
      </c>
      <c r="J37" s="280">
        <v>1.74031924944384</v>
      </c>
      <c r="K37" s="281" t="s">
        <v>59</v>
      </c>
      <c r="L37" s="266">
        <v>0</v>
      </c>
      <c r="M37" s="266" t="s">
        <v>551</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1.74031924944384</v>
      </c>
    </row>
    <row r="38" spans="1:30" x14ac:dyDescent="0.25">
      <c r="A38" s="60" t="s">
        <v>163</v>
      </c>
      <c r="B38" s="42" t="s">
        <v>162</v>
      </c>
      <c r="C38" s="266">
        <v>1.8982511506946038</v>
      </c>
      <c r="D38" s="280">
        <v>1.8705311188947196</v>
      </c>
      <c r="E38" s="285">
        <f>J38+N38+G38+P38+T38+X38</f>
        <v>1.0921571888947197</v>
      </c>
      <c r="F38" s="285">
        <f>E38-G38</f>
        <v>1.0921571888947197</v>
      </c>
      <c r="G38" s="266">
        <v>0</v>
      </c>
      <c r="H38" s="266">
        <v>0</v>
      </c>
      <c r="I38" s="266">
        <v>0</v>
      </c>
      <c r="J38" s="280">
        <v>1.0921571888947197</v>
      </c>
      <c r="K38" s="281" t="s">
        <v>551</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1.0921571888947197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v>
      </c>
      <c r="D46" s="280">
        <v>2</v>
      </c>
      <c r="E46" s="285">
        <f t="shared" si="31"/>
        <v>2</v>
      </c>
      <c r="F46" s="285">
        <f>E46-G46</f>
        <v>1</v>
      </c>
      <c r="G46" s="266">
        <v>1</v>
      </c>
      <c r="H46" s="266">
        <v>0</v>
      </c>
      <c r="I46" s="268">
        <v>0</v>
      </c>
      <c r="J46" s="280">
        <v>1</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1</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v>
      </c>
      <c r="D54" s="280">
        <v>2</v>
      </c>
      <c r="E54" s="285">
        <f t="shared" si="34"/>
        <v>2</v>
      </c>
      <c r="F54" s="285">
        <f t="shared" si="33"/>
        <v>1</v>
      </c>
      <c r="G54" s="266">
        <v>1</v>
      </c>
      <c r="H54" s="266">
        <v>0</v>
      </c>
      <c r="I54" s="268">
        <v>0</v>
      </c>
      <c r="J54" s="280">
        <v>1</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1</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8.8164734687471036</v>
      </c>
      <c r="D56" s="280">
        <v>10.857623778540949</v>
      </c>
      <c r="E56" s="285">
        <f t="shared" ref="E56:E61" si="36">J56+N56+G56+P56+T56+X56</f>
        <v>10.857623778540948</v>
      </c>
      <c r="F56" s="280">
        <f t="shared" si="33"/>
        <v>6.6295384185409478</v>
      </c>
      <c r="G56" s="266">
        <v>4.2280853599999997</v>
      </c>
      <c r="H56" s="266">
        <v>0</v>
      </c>
      <c r="I56" s="268">
        <v>0</v>
      </c>
      <c r="J56" s="280">
        <v>6.6295384185409487</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6.6295384185409487</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v>
      </c>
      <c r="D61" s="280">
        <v>2</v>
      </c>
      <c r="E61" s="285">
        <f t="shared" si="36"/>
        <v>2</v>
      </c>
      <c r="F61" s="285">
        <f t="shared" si="33"/>
        <v>1</v>
      </c>
      <c r="G61" s="266">
        <v>1</v>
      </c>
      <c r="H61" s="266">
        <v>0</v>
      </c>
      <c r="I61" s="268">
        <v>0</v>
      </c>
      <c r="J61" s="280">
        <v>1</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1</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80" zoomScaleSheetLayoutView="80" workbookViewId="0">
      <selection activeCell="AX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Восточная в части замены устройств РЗА присоединений ОВ-110-220</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552</v>
      </c>
      <c r="AY22" s="490" t="s">
        <v>553</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9055.6613000000016</v>
      </c>
      <c r="Q26" s="177" t="s">
        <v>425</v>
      </c>
      <c r="R26" s="179">
        <f>SUM(R27:R86)</f>
        <v>8726.3351999999995</v>
      </c>
      <c r="S26" s="177" t="s">
        <v>425</v>
      </c>
      <c r="T26" s="177" t="s">
        <v>425</v>
      </c>
      <c r="U26" s="177" t="s">
        <v>425</v>
      </c>
      <c r="V26" s="177" t="s">
        <v>425</v>
      </c>
      <c r="W26" s="177" t="s">
        <v>425</v>
      </c>
      <c r="X26" s="177" t="s">
        <v>425</v>
      </c>
      <c r="Y26" s="177" t="s">
        <v>425</v>
      </c>
      <c r="Z26" s="177" t="s">
        <v>425</v>
      </c>
      <c r="AA26" s="177" t="s">
        <v>425</v>
      </c>
      <c r="AB26" s="179">
        <f>SUM(AB27:AB86)</f>
        <v>4312.1313</v>
      </c>
      <c r="AC26" s="177" t="s">
        <v>425</v>
      </c>
      <c r="AD26" s="179">
        <f>SUM(AD27:AD86)</f>
        <v>5174.5575600000002</v>
      </c>
      <c r="AE26" s="179">
        <f>SUM(AE27:AE86)</f>
        <v>117.25255000000016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4214.4208400000007</v>
      </c>
      <c r="AY26" s="179">
        <f t="shared" si="46"/>
        <v>5057.30501</v>
      </c>
      <c r="AZ26" s="179" t="s">
        <v>425</v>
      </c>
      <c r="BA26" s="179" t="s">
        <v>425</v>
      </c>
      <c r="BB26" s="179"/>
      <c r="BC26" s="179"/>
      <c r="BD26" s="179"/>
    </row>
    <row r="27" spans="1:56" s="218" customFormat="1" ht="67.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3929.6313</v>
      </c>
      <c r="Q27" s="214" t="s">
        <v>425</v>
      </c>
      <c r="R27" s="215">
        <v>3929.6313</v>
      </c>
      <c r="S27" s="214" t="s">
        <v>512</v>
      </c>
      <c r="T27" s="214" t="s">
        <v>512</v>
      </c>
      <c r="U27" s="214">
        <v>4</v>
      </c>
      <c r="V27" s="214">
        <v>1</v>
      </c>
      <c r="W27" s="214" t="s">
        <v>513</v>
      </c>
      <c r="X27" s="214">
        <v>3929.6313</v>
      </c>
      <c r="Y27" s="214" t="s">
        <v>514</v>
      </c>
      <c r="Z27" s="214">
        <v>1</v>
      </c>
      <c r="AA27" s="214">
        <v>3929.6313</v>
      </c>
      <c r="AB27" s="215">
        <v>3929.6313</v>
      </c>
      <c r="AC27" s="214" t="s">
        <v>513</v>
      </c>
      <c r="AD27" s="215">
        <v>4715.5575600000002</v>
      </c>
      <c r="AE27" s="291">
        <f>IF(IFERROR(AD27-AY27,"нд")&lt;0,0,IFERROR(AD27-AY27,"нд"))</f>
        <v>117.25255000000016</v>
      </c>
      <c r="AF27" s="214" t="s">
        <v>515</v>
      </c>
      <c r="AG27" s="214" t="s">
        <v>516</v>
      </c>
      <c r="AH27" s="214" t="s">
        <v>517</v>
      </c>
      <c r="AI27" s="216">
        <v>45107</v>
      </c>
      <c r="AJ27" s="216">
        <v>45092</v>
      </c>
      <c r="AK27" s="216">
        <v>45104</v>
      </c>
      <c r="AL27" s="216">
        <v>45119</v>
      </c>
      <c r="AM27" s="214" t="s">
        <v>425</v>
      </c>
      <c r="AN27" s="214" t="s">
        <v>425</v>
      </c>
      <c r="AO27" s="214" t="s">
        <v>425</v>
      </c>
      <c r="AP27" s="214" t="s">
        <v>425</v>
      </c>
      <c r="AQ27" s="216">
        <v>45139</v>
      </c>
      <c r="AR27" s="216">
        <v>45139</v>
      </c>
      <c r="AS27" s="216">
        <v>45139</v>
      </c>
      <c r="AT27" s="216">
        <v>45139</v>
      </c>
      <c r="AU27" s="216">
        <v>45286</v>
      </c>
      <c r="AV27" s="214" t="s">
        <v>425</v>
      </c>
      <c r="AW27" s="214" t="s">
        <v>425</v>
      </c>
      <c r="AX27" s="217">
        <v>3831.9208400000002</v>
      </c>
      <c r="AY27" s="217">
        <v>4598.30501</v>
      </c>
      <c r="AZ27" s="215" t="s">
        <v>518</v>
      </c>
      <c r="BA27" s="215" t="s">
        <v>509</v>
      </c>
      <c r="BB27" s="215" t="s">
        <v>519</v>
      </c>
      <c r="BC27" s="215" t="s">
        <v>520</v>
      </c>
      <c r="BD27" s="215" t="str">
        <f>CONCATENATE(BB27,", ",BA27,", ",N27,", ","договор № ",BC27)</f>
        <v>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4531</v>
      </c>
      <c r="Q28" s="214" t="s">
        <v>523</v>
      </c>
      <c r="R28" s="215">
        <v>4201.6697999999997</v>
      </c>
      <c r="S28" s="214" t="s">
        <v>512</v>
      </c>
      <c r="T28" s="214" t="s">
        <v>512</v>
      </c>
      <c r="U28" s="214">
        <v>3</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v>32413495190</v>
      </c>
      <c r="AG28" s="214" t="s">
        <v>516</v>
      </c>
      <c r="AH28" s="214" t="s">
        <v>517</v>
      </c>
      <c r="AI28" s="216">
        <v>45412</v>
      </c>
      <c r="AJ28" s="216">
        <v>45393</v>
      </c>
      <c r="AK28" s="216">
        <v>45415</v>
      </c>
      <c r="AL28" s="216">
        <v>45428</v>
      </c>
      <c r="AM28" s="214" t="s">
        <v>425</v>
      </c>
      <c r="AN28" s="214" t="s">
        <v>425</v>
      </c>
      <c r="AO28" s="214" t="s">
        <v>425</v>
      </c>
      <c r="AP28" s="214" t="s">
        <v>425</v>
      </c>
      <c r="AQ28" s="216">
        <v>45473</v>
      </c>
      <c r="AR28" s="216" t="s">
        <v>425</v>
      </c>
      <c r="AS28" s="216">
        <v>45473</v>
      </c>
      <c r="AT28" s="216" t="s">
        <v>425</v>
      </c>
      <c r="AU28" s="216">
        <v>45688</v>
      </c>
      <c r="AV28" s="214" t="s">
        <v>425</v>
      </c>
      <c r="AW28" s="214" t="s">
        <v>524</v>
      </c>
      <c r="AX28" s="215">
        <v>0</v>
      </c>
      <c r="AY28" s="215">
        <v>0</v>
      </c>
      <c r="AZ28" s="215" t="s">
        <v>518</v>
      </c>
      <c r="BA28" s="215" t="s">
        <v>521</v>
      </c>
      <c r="BB28" s="215" t="s">
        <v>425</v>
      </c>
      <c r="BC28" s="215" t="s">
        <v>525</v>
      </c>
      <c r="BD28" s="215" t="str">
        <f t="shared" ref="BD28:BD86" si="50">CONCATENATE(BB28,", ",BA28,", ",N28,", ","договор № ",BC28)</f>
        <v>нд,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не состоялась</v>
      </c>
    </row>
    <row r="29" spans="1:56" s="218" customFormat="1" ht="123.7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521</v>
      </c>
      <c r="N29" s="214" t="s">
        <v>526</v>
      </c>
      <c r="O29" s="214" t="s">
        <v>511</v>
      </c>
      <c r="P29" s="215">
        <v>595.03</v>
      </c>
      <c r="Q29" s="214" t="s">
        <v>523</v>
      </c>
      <c r="R29" s="215">
        <v>595.03409999999997</v>
      </c>
      <c r="S29" s="214" t="s">
        <v>512</v>
      </c>
      <c r="T29" s="214" t="s">
        <v>512</v>
      </c>
      <c r="U29" s="214">
        <v>4</v>
      </c>
      <c r="V29" s="214">
        <v>5</v>
      </c>
      <c r="W29" s="214" t="s">
        <v>527</v>
      </c>
      <c r="X29" s="214" t="s">
        <v>528</v>
      </c>
      <c r="Y29" s="214" t="s">
        <v>514</v>
      </c>
      <c r="Z29" s="214">
        <v>1</v>
      </c>
      <c r="AA29" s="214" t="s">
        <v>529</v>
      </c>
      <c r="AB29" s="215">
        <v>382.5</v>
      </c>
      <c r="AC29" s="214" t="s">
        <v>530</v>
      </c>
      <c r="AD29" s="215">
        <v>459</v>
      </c>
      <c r="AE29" s="291">
        <f t="shared" si="49"/>
        <v>0</v>
      </c>
      <c r="AF29" s="214">
        <v>32211174626</v>
      </c>
      <c r="AG29" s="214" t="s">
        <v>516</v>
      </c>
      <c r="AH29" s="214" t="s">
        <v>517</v>
      </c>
      <c r="AI29" s="216">
        <v>44620</v>
      </c>
      <c r="AJ29" s="216">
        <v>44620</v>
      </c>
      <c r="AK29" s="216">
        <v>44638</v>
      </c>
      <c r="AL29" s="216">
        <v>44650</v>
      </c>
      <c r="AM29" s="214" t="s">
        <v>425</v>
      </c>
      <c r="AN29" s="214" t="s">
        <v>425</v>
      </c>
      <c r="AO29" s="214" t="s">
        <v>425</v>
      </c>
      <c r="AP29" s="214" t="s">
        <v>425</v>
      </c>
      <c r="AQ29" s="216">
        <v>44670</v>
      </c>
      <c r="AR29" s="216">
        <v>44663</v>
      </c>
      <c r="AS29" s="216">
        <v>44670</v>
      </c>
      <c r="AT29" s="216">
        <v>44663</v>
      </c>
      <c r="AU29" s="216">
        <v>45290</v>
      </c>
      <c r="AV29" s="214" t="s">
        <v>425</v>
      </c>
      <c r="AW29" s="214" t="s">
        <v>425</v>
      </c>
      <c r="AX29" s="215">
        <v>382.5</v>
      </c>
      <c r="AY29" s="215">
        <v>459</v>
      </c>
      <c r="AZ29" s="215" t="s">
        <v>518</v>
      </c>
      <c r="BA29" s="215" t="s">
        <v>521</v>
      </c>
      <c r="BB29" s="215" t="s">
        <v>530</v>
      </c>
      <c r="BC29" s="215" t="s">
        <v>531</v>
      </c>
      <c r="BD29" s="215" t="str">
        <f t="shared" si="50"/>
        <v>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M_00.0021.000021</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Восточная в части замены устройств РЗА присоединений ОВ-110-220</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543</v>
      </c>
    </row>
    <row r="22" spans="1:2" x14ac:dyDescent="0.25">
      <c r="A22" s="157" t="s">
        <v>306</v>
      </c>
      <c r="B22" s="157" t="s">
        <v>548</v>
      </c>
    </row>
    <row r="23" spans="1:2" x14ac:dyDescent="0.25">
      <c r="A23" s="157" t="s">
        <v>288</v>
      </c>
      <c r="B23" s="157" t="s">
        <v>534</v>
      </c>
    </row>
    <row r="24" spans="1:2" x14ac:dyDescent="0.25">
      <c r="A24" s="157" t="s">
        <v>307</v>
      </c>
      <c r="B24" s="157" t="s">
        <v>425</v>
      </c>
    </row>
    <row r="25" spans="1:2" x14ac:dyDescent="0.25">
      <c r="A25" s="158" t="s">
        <v>308</v>
      </c>
      <c r="B25" s="175">
        <v>46021</v>
      </c>
    </row>
    <row r="26" spans="1:2" x14ac:dyDescent="0.25">
      <c r="A26" s="158" t="s">
        <v>309</v>
      </c>
      <c r="B26" s="160" t="s">
        <v>547</v>
      </c>
    </row>
    <row r="27" spans="1:2" x14ac:dyDescent="0.25">
      <c r="A27" s="160" t="str">
        <f>CONCATENATE("Стоимость проекта в прогнозных ценах, млн. руб. с НДС")</f>
        <v>Стоимость проекта в прогнозных ценах, млн. руб. с НДС</v>
      </c>
      <c r="B27" s="171">
        <v>12.997143823881233</v>
      </c>
    </row>
    <row r="28" spans="1:2" ht="93.75" customHeight="1" x14ac:dyDescent="0.25">
      <c r="A28" s="159" t="s">
        <v>310</v>
      </c>
      <c r="B28" s="162" t="s">
        <v>535</v>
      </c>
    </row>
    <row r="29" spans="1:2" ht="28.5" x14ac:dyDescent="0.25">
      <c r="A29" s="160" t="s">
        <v>311</v>
      </c>
      <c r="B29" s="171">
        <f>'7. Паспорт отчет о закупке'!$AB$26*1.2/1000</f>
        <v>5.1745575600000002</v>
      </c>
    </row>
    <row r="30" spans="1:2" ht="28.5" x14ac:dyDescent="0.25">
      <c r="A30" s="160" t="s">
        <v>312</v>
      </c>
      <c r="B30" s="171">
        <f>'7. Паспорт отчет о закупке'!$AD$26/1000</f>
        <v>5.1745575600000002</v>
      </c>
    </row>
    <row r="31" spans="1:2" x14ac:dyDescent="0.25">
      <c r="A31" s="159" t="s">
        <v>313</v>
      </c>
      <c r="B31" s="161"/>
    </row>
    <row r="32" spans="1:2" ht="28.5" x14ac:dyDescent="0.25">
      <c r="A32" s="160" t="s">
        <v>314</v>
      </c>
      <c r="B32" s="171">
        <f>SUM(SUMIF(B33,"&gt;0",B33),SUMIF(B37,"&gt;0",B37),SUMIF(B41,"&gt;0",B41),SUMIF(B45,"&gt;0",B45),SUMIF(B49,"&gt;0",B49),SUMIF(B53,"&gt;0",B53))</f>
        <v>5.1745575600000002</v>
      </c>
    </row>
    <row r="33" spans="1:2" ht="30" x14ac:dyDescent="0.25">
      <c r="A33" s="168" t="s">
        <v>433</v>
      </c>
      <c r="B33" s="161">
        <f>IFERROR(IF(VLOOKUP(1,'7. Паспорт отчет о закупке'!$A$27:$CD$86,52,0)="ИП",VLOOKUP(1,'7. Паспорт отчет о закупке'!$A$27:$CD$86,30,0)/1000,"нд"),"нд")</f>
        <v>4.7155575600000006</v>
      </c>
    </row>
    <row r="34" spans="1:2" x14ac:dyDescent="0.25">
      <c r="A34" s="168" t="s">
        <v>315</v>
      </c>
      <c r="B34" s="161">
        <f>IF(B33="нд","нд",$B33/$B$27*100)</f>
        <v>36.281490948307685</v>
      </c>
    </row>
    <row r="35" spans="1:2" x14ac:dyDescent="0.25">
      <c r="A35" s="168" t="s">
        <v>316</v>
      </c>
      <c r="B35" s="161">
        <f>IF(VLOOKUP(1,'7. Паспорт отчет о закупке'!$A$27:$CD$86,52,0)="ИП",VLOOKUP(1,'7. Паспорт отчет о закупке'!$A$27:$CD$86,51,0)/1000,"нд")</f>
        <v>4.5983050099999998</v>
      </c>
    </row>
    <row r="36" spans="1:2" x14ac:dyDescent="0.25">
      <c r="A36" s="168" t="s">
        <v>437</v>
      </c>
      <c r="B36" s="161">
        <f>IF(VLOOKUP(1,'7. Паспорт отчет о закупке'!$A$27:$CD$86,52,0)="ИП",VLOOKUP(1,'7. Паспорт отчет о закупке'!$A$27:$CD$86,50,0)/1000,"нд")</f>
        <v>3.8319208400000004</v>
      </c>
    </row>
    <row r="37" spans="1:2" ht="30" x14ac:dyDescent="0.25">
      <c r="A37" s="168" t="s">
        <v>433</v>
      </c>
      <c r="B37" s="161" t="e">
        <f>IF(VLOOKUP(2,'7. Паспорт отчет о закупке'!$A$27:$CD$86,52,0)="ИП",VLOOKUP(2,'7. Паспорт отчет о закупке'!$A$27:$CD$86,30,0)/1000,"нд")</f>
        <v>#VALUE!</v>
      </c>
    </row>
    <row r="38" spans="1:2" x14ac:dyDescent="0.25">
      <c r="A38" s="168" t="s">
        <v>315</v>
      </c>
      <c r="B38" s="161" t="e">
        <f>IF(B37="нд","нд",$B37/$B$27*100)</f>
        <v>#VALUE!</v>
      </c>
    </row>
    <row r="39" spans="1:2" x14ac:dyDescent="0.25">
      <c r="A39" s="168" t="s">
        <v>316</v>
      </c>
      <c r="B39" s="161">
        <f>IF(VLOOKUP(2,'7. Паспорт отчет о закупке'!$A$27:$CD$86,52,0)="ИП",VLOOKUP(2,'7. Паспорт отчет о закупке'!$A$27:$CD$86,51,0)/1000,"нд")</f>
        <v>0</v>
      </c>
    </row>
    <row r="40" spans="1:2" x14ac:dyDescent="0.25">
      <c r="A40" s="168" t="s">
        <v>437</v>
      </c>
      <c r="B40" s="161">
        <f>IF(VLOOKUP(2,'7. Паспорт отчет о закупке'!$A$27:$CD$86,52,0)="ИП",VLOOKUP(2,'7. Паспорт отчет о закупке'!$A$27:$CD$86,50,0)/1000,"нд")</f>
        <v>0</v>
      </c>
    </row>
    <row r="41" spans="1:2" ht="30" x14ac:dyDescent="0.25">
      <c r="A41" s="168" t="s">
        <v>433</v>
      </c>
      <c r="B41" s="161">
        <f>IF(VLOOKUP(3,'7. Паспорт отчет о закупке'!$A$27:$CD$86,52,0)="ИП",VLOOKUP(3,'7. Паспорт отчет о закупке'!$A$27:$CD$86,30,0)/1000,"нд")</f>
        <v>0.45900000000000002</v>
      </c>
    </row>
    <row r="42" spans="1:2" x14ac:dyDescent="0.25">
      <c r="A42" s="168" t="s">
        <v>315</v>
      </c>
      <c r="B42" s="161">
        <f>IF(B41="нд","нд",$B41/$B$27*100)</f>
        <v>3.5315451319129325</v>
      </c>
    </row>
    <row r="43" spans="1:2" x14ac:dyDescent="0.25">
      <c r="A43" s="168" t="s">
        <v>316</v>
      </c>
      <c r="B43" s="161">
        <f>IF(VLOOKUP(3,'7. Паспорт отчет о закупке'!$A$27:$CD$86,52,0)="ИП",VLOOKUP(3,'7. Паспорт отчет о закупке'!$A$27:$CD$86,51,0)/1000,"нд")</f>
        <v>0.45900000000000002</v>
      </c>
    </row>
    <row r="44" spans="1:2" x14ac:dyDescent="0.25">
      <c r="A44" s="168" t="s">
        <v>437</v>
      </c>
      <c r="B44" s="161">
        <f>IF(VLOOKUP(3,'7. Паспорт отчет о закупке'!$A$27:$CD$86,52,0)="ИП",VLOOKUP(3,'7. Паспорт отчет о закупке'!$A$27:$CD$86,50,0)/1000,"нд")</f>
        <v>0.38250000000000001</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36.281490948307685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3.5315451319129325</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5.0699441349440963</v>
      </c>
    </row>
    <row r="90" spans="1:7" x14ac:dyDescent="0.25">
      <c r="A90" s="158" t="s">
        <v>436</v>
      </c>
      <c r="B90" s="171">
        <f>IFERROR(SUM(B91*1.2/$B$27*100),0)</f>
        <v>39.037056916131597</v>
      </c>
    </row>
    <row r="91" spans="1:7" x14ac:dyDescent="0.25">
      <c r="A91" s="158" t="s">
        <v>441</v>
      </c>
      <c r="B91" s="171">
        <f>'6.2. Паспорт фин осв ввод'!D34-'6.2. Паспорт фин осв ввод'!E34</f>
        <v>4.2280853599999997</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«ЭКРА-Сибирь», СМР, Выполнение строительно-монтажных и пусконаладочных работ по проекту «Реконструкция ПС 220 кВ Восточная в части замены устройств РЗА
присоединений ОВ-110-220», договор № ИП-23-00250 от 01.08.2023
нд, ПИР, Выполнение проектно-изыскательских, строительно-монтажных и пуско-наладочных работ по проекту "Реконструкция ПС 220 кВ Восточная в части замены устройств РЗА присоединений ОВ-220", договор № закупочная процедура не состоялась
ООО "АКД-Проект", ПИР, Выполнение проектно-изыскательских работ по проекту "Реконструкция ПС 220 кВ Восточная в части замены устройств РЗА присоединений ОВ-110-220» , договор № ИП-22-00084 от 12.04.2022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M_00.0021.000021</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Восточная в части замены устройств РЗА присоединений ОВ-110-220</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447</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Восточная в части замены устройств РЗА присоединений ОВ-110-220</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M_00.0021.000021</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Восточная в части замены устройств РЗА присоединений ОВ-110-220</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M_00.0021.000021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Восточная в части замены устройств РЗА присоединений ОВ-110-220</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Восточная в части замены устройств РЗА присоединений ОВ-110-220</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M_00.0021.000021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Восточная в части замены устройств РЗА присоединений ОВ-110-220</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M_00.0021.000021</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Восточная в части замены устройств РЗА присоединений ОВ-110-220</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444</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45574</v>
      </c>
      <c r="E25" s="255">
        <v>44604</v>
      </c>
      <c r="F25" s="255">
        <v>45837</v>
      </c>
      <c r="G25" s="256">
        <v>0.25</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45394</v>
      </c>
      <c r="E31" s="255">
        <v>44604</v>
      </c>
      <c r="F31" s="255">
        <v>45669</v>
      </c>
      <c r="G31" s="260" t="s">
        <v>554</v>
      </c>
      <c r="H31" s="260" t="s">
        <v>425</v>
      </c>
      <c r="I31" s="257" t="s">
        <v>425</v>
      </c>
      <c r="J31" s="257" t="s">
        <v>425</v>
      </c>
    </row>
    <row r="32" spans="1:12" x14ac:dyDescent="0.25">
      <c r="A32" s="257" t="s">
        <v>466</v>
      </c>
      <c r="B32" s="258" t="s">
        <v>467</v>
      </c>
      <c r="C32" s="255">
        <v>44723</v>
      </c>
      <c r="D32" s="255">
        <v>45514</v>
      </c>
      <c r="E32" s="255">
        <v>44694</v>
      </c>
      <c r="F32" s="255">
        <v>45807</v>
      </c>
      <c r="G32" s="260" t="s">
        <v>555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45046</v>
      </c>
      <c r="D35" s="255">
        <v>45574</v>
      </c>
      <c r="E35" s="255">
        <v>45069</v>
      </c>
      <c r="F35" s="255">
        <v>45837</v>
      </c>
      <c r="G35" s="260" t="s">
        <v>555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44723</v>
      </c>
      <c r="D37" s="255">
        <v>45514</v>
      </c>
      <c r="E37" s="255">
        <v>44754</v>
      </c>
      <c r="F37" s="255">
        <v>45807</v>
      </c>
      <c r="G37" s="260" t="s">
        <v>555</v>
      </c>
      <c r="H37" s="260" t="s">
        <v>425</v>
      </c>
      <c r="I37" s="257" t="s">
        <v>425</v>
      </c>
      <c r="J37" s="257" t="s">
        <v>425</v>
      </c>
    </row>
    <row r="38" spans="1:10" ht="31.5" x14ac:dyDescent="0.25">
      <c r="A38" s="252">
        <v>2</v>
      </c>
      <c r="B38" s="254" t="s">
        <v>503</v>
      </c>
      <c r="C38" s="255" t="s">
        <v>425</v>
      </c>
      <c r="D38" s="255" t="s">
        <v>425</v>
      </c>
      <c r="E38" s="255" t="s">
        <v>425</v>
      </c>
      <c r="F38" s="255" t="s">
        <v>425</v>
      </c>
      <c r="G38" s="261">
        <v>0.5</v>
      </c>
      <c r="H38" s="261">
        <v>1</v>
      </c>
      <c r="I38" s="252" t="s">
        <v>425</v>
      </c>
      <c r="J38" s="252" t="s">
        <v>425</v>
      </c>
    </row>
    <row r="39" spans="1:10" ht="31.5" x14ac:dyDescent="0.25">
      <c r="A39" s="262" t="s">
        <v>478</v>
      </c>
      <c r="B39" s="258" t="s">
        <v>479</v>
      </c>
      <c r="C39" s="255">
        <v>44995</v>
      </c>
      <c r="D39" s="255">
        <v>45544</v>
      </c>
      <c r="E39" s="255">
        <v>45078</v>
      </c>
      <c r="F39" s="255">
        <v>45777</v>
      </c>
      <c r="G39" s="263" t="s">
        <v>554</v>
      </c>
      <c r="H39" s="263" t="s">
        <v>554</v>
      </c>
      <c r="I39" s="257" t="s">
        <v>425</v>
      </c>
      <c r="J39" s="257" t="s">
        <v>425</v>
      </c>
    </row>
    <row r="40" spans="1:10" x14ac:dyDescent="0.25">
      <c r="A40" s="262" t="s">
        <v>480</v>
      </c>
      <c r="B40" s="258" t="s">
        <v>481</v>
      </c>
      <c r="C40" s="255" t="s">
        <v>425</v>
      </c>
      <c r="D40" s="255" t="s">
        <v>425</v>
      </c>
      <c r="E40" s="255">
        <v>45168</v>
      </c>
      <c r="F40" s="255">
        <v>45933</v>
      </c>
      <c r="G40" s="263" t="s">
        <v>555</v>
      </c>
      <c r="H40" s="263" t="s">
        <v>425</v>
      </c>
      <c r="I40" s="257" t="s">
        <v>425</v>
      </c>
      <c r="J40" s="257" t="s">
        <v>425</v>
      </c>
    </row>
    <row r="41" spans="1:10" x14ac:dyDescent="0.25">
      <c r="A41" s="252">
        <v>3</v>
      </c>
      <c r="B41" s="254" t="s">
        <v>482</v>
      </c>
      <c r="C41" s="255">
        <v>45178</v>
      </c>
      <c r="D41" s="255">
        <v>45644</v>
      </c>
      <c r="E41" s="255">
        <v>45139</v>
      </c>
      <c r="F41" s="255">
        <v>45993</v>
      </c>
      <c r="G41" s="261">
        <v>0</v>
      </c>
      <c r="H41" s="261" t="s">
        <v>425</v>
      </c>
      <c r="I41" s="252" t="s">
        <v>425</v>
      </c>
      <c r="J41" s="252" t="s">
        <v>425</v>
      </c>
    </row>
    <row r="42" spans="1:10" x14ac:dyDescent="0.25">
      <c r="A42" s="257" t="s">
        <v>483</v>
      </c>
      <c r="B42" s="258" t="s">
        <v>484</v>
      </c>
      <c r="C42" s="255">
        <v>45178</v>
      </c>
      <c r="D42" s="255">
        <v>45614</v>
      </c>
      <c r="E42" s="255">
        <v>45178</v>
      </c>
      <c r="F42" s="255">
        <v>45979</v>
      </c>
      <c r="G42" s="263" t="s">
        <v>555</v>
      </c>
      <c r="H42" s="263" t="s">
        <v>425</v>
      </c>
      <c r="I42" s="257" t="s">
        <v>425</v>
      </c>
      <c r="J42" s="257" t="s">
        <v>425</v>
      </c>
    </row>
    <row r="43" spans="1:10" x14ac:dyDescent="0.25">
      <c r="A43" s="257" t="s">
        <v>485</v>
      </c>
      <c r="B43" s="258" t="s">
        <v>486</v>
      </c>
      <c r="C43" s="255" t="s">
        <v>425</v>
      </c>
      <c r="D43" s="255" t="s">
        <v>425</v>
      </c>
      <c r="E43" s="255">
        <v>45139</v>
      </c>
      <c r="F43" s="255">
        <v>45984</v>
      </c>
      <c r="G43" s="263" t="s">
        <v>555</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45248</v>
      </c>
      <c r="D47" s="255">
        <v>45644</v>
      </c>
      <c r="E47" s="255">
        <v>45280</v>
      </c>
      <c r="F47" s="255">
        <v>45993</v>
      </c>
      <c r="G47" s="263" t="s">
        <v>555</v>
      </c>
      <c r="H47" s="263" t="s">
        <v>425</v>
      </c>
      <c r="I47" s="257" t="s">
        <v>425</v>
      </c>
      <c r="J47" s="257" t="s">
        <v>425</v>
      </c>
    </row>
    <row r="48" spans="1:10" x14ac:dyDescent="0.25">
      <c r="A48" s="252">
        <v>4</v>
      </c>
      <c r="B48" s="254" t="s">
        <v>495</v>
      </c>
      <c r="C48" s="255">
        <v>45278</v>
      </c>
      <c r="D48" s="255">
        <v>45656</v>
      </c>
      <c r="E48" s="255">
        <v>45534</v>
      </c>
      <c r="F48" s="255">
        <v>46021</v>
      </c>
      <c r="G48" s="261">
        <v>0</v>
      </c>
      <c r="H48" s="261" t="s">
        <v>425</v>
      </c>
      <c r="I48" s="252" t="s">
        <v>425</v>
      </c>
      <c r="J48" s="252" t="s">
        <v>425</v>
      </c>
    </row>
    <row r="49" spans="1:10" x14ac:dyDescent="0.25">
      <c r="A49" s="257" t="s">
        <v>496</v>
      </c>
      <c r="B49" s="258" t="s">
        <v>497</v>
      </c>
      <c r="C49" s="255">
        <v>45278</v>
      </c>
      <c r="D49" s="255">
        <v>45647</v>
      </c>
      <c r="E49" s="255">
        <v>45534</v>
      </c>
      <c r="F49" s="255">
        <v>46016</v>
      </c>
      <c r="G49" s="263" t="s">
        <v>555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45281</v>
      </c>
      <c r="D53" s="255">
        <v>45656</v>
      </c>
      <c r="E53" s="255">
        <v>45539</v>
      </c>
      <c r="F53" s="255">
        <v>46021</v>
      </c>
      <c r="G53" s="263" t="s">
        <v>555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2024-11-14T09:38:25Z</dcterms:modified>
</cp:coreProperties>
</file>