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7CC162BB-52FA-41C1-8447-FDB95C6B28A9}"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8"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29" i="5"/>
  <c r="AE70" i="5"/>
  <c r="AE51" i="5"/>
  <c r="AE74" i="5"/>
  <c r="AE84" i="5"/>
  <c r="AE46" i="5"/>
  <c r="AE44" i="5"/>
  <c r="AE36" i="5"/>
  <c r="AE41"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<sst xmlns="http://schemas.openxmlformats.org/spreadsheetml/2006/main" count="4346" uniqueCount="627">
  <si>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</si>
  <si>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</si>
  <si>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</si>
  <si>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</si>
  <si>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</si>
  <si>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</si>
  <si>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</si>
  <si>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</si>
  <si>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</si>
  <si>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</si>
  <si>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</si>
  <si>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</si>
  <si>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</si>
  <si>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</si>
  <si>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</si>
  <si>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</si>
  <si>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</si>
  <si>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</si>
  <si>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</si>
  <si>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</si>
  <si>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</si>
  <si>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</si>
  <si>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</si>
  <si>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</si>
  <si>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</si>
  <si>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</si>
  <si>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</si>
  <si>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</si>
  <si>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</si>
  <si>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</si>
  <si>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</si>
  <si>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</si>
  <si>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</si>
  <si>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</si>
  <si>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</si>
  <si>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</si>
  <si>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</si>
  <si>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</si>
  <si>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</si>
  <si>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</si>
  <si>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</si>
  <si>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</si>
  <si>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</si>
  <si>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</si>
  <si>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</si>
  <si>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</si>
  <si>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</si>
  <si>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</si>
  <si>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</si>
  <si>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</si>
  <si>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</si>
  <si>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</si>
  <si>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</si>
  <si>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</si>
  <si>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</si>
  <si>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</si>
  <si>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</si>
  <si>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</si>
  <si>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</si>
  <si>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</si>
  <si>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</si>
  <si>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</si>
  <si>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</si>
  <si>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</si>
  <si>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</si>
  <si>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</si>
  <si>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</si>
  <si>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</si>
  <si>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</si>
  <si>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</si>
  <si>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</si>
  <si>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</si>
  <si>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</si>
  <si>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</si>
  <si>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</si>
  <si>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</si>
  <si>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</si>
  <si>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</si>
  <si>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</si>
  <si>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</si>
  <si>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</si>
  <si>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</si>
  <si>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</si>
  <si>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</si>
  <si>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</si>
  <si>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</si>
  <si>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</si>
  <si>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</si>
  <si>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</si>
  <si>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</si>
  <si>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</si>
  <si>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</si>
  <si>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</si>
  <si>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</si>
  <si>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</si>
  <si>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</si>
  <si>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</si>
  <si>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</si>
  <si>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</si>
  <si>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</si>
  <si>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</si>
  <si>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</si>
  <si>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</si>
  <si>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</si>
  <si>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</si>
  <si>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</si>
  <si>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</si>
  <si>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</si>
  <si>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</si>
  <si>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</si>
  <si>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</si>
  <si>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</si>
  <si>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</si>
  <si>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</si>
  <si>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</si>
  <si>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</si>
  <si>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</si>
  <si>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</si>
  <si>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</si>
  <si>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</si>
  <si>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</si>
  <si>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</si>
  <si>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</si>
  <si>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</si>
  <si>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</si>
  <si>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</si>
  <si>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</si>
  <si>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</si>
  <si>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</si>
  <si>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</si>
  <si>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</si>
  <si>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</si>
  <si>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</si>
  <si>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</si>
  <si>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</si>
  <si>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</si>
  <si>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</si>
  <si>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</si>
  <si>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</si>
  <si>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</si>
  <si>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</si>
  <si>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</si>
  <si>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</si>
  <si>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</si>
  <si>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</si>
  <si>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</si>
  <si>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</si>
  <si>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</si>
  <si>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</si>
  <si>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</si>
  <si>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</si>
  <si>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</si>
  <si>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</si>
  <si>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</si>
  <si>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</si>
  <si>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</si>
  <si>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</si>
  <si>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</si>
  <si>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</si>
  <si>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</si>
  <si>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</si>
  <si>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</si>
  <si>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</si>
  <si>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</si>
  <si>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</si>
  <si>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</si>
  <si>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</si>
  <si>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</si>
  <si>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</si>
  <si>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</si>
  <si>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</si>
  <si>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</si>
  <si>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</si>
  <si>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</si>
  <si>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</si>
  <si>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</si>
  <si>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</si>
  <si>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</si>
  <si>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</si>
  <si>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</si>
  <si>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</si>
  <si>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</si>
  <si>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</si>
  <si>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</si>
  <si>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</si>
  <si>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</si>
  <si>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</si>
  <si>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</si>
  <si>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</si>
  <si>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</si>
  <si>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</si>
  <si>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</si>
  <si>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</si>
  <si>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</si>
  <si>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</si>
  <si>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</si>
  <si>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</si>
  <si>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</si>
  <si>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</si>
  <si>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</si>
  <si>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</si>
  <si>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</si>
  <si>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</si>
  <si>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</si>
  <si>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</si>
  <si>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</si>
  <si>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</si>
  <si>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</si>
  <si>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</si>
  <si>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</si>
  <si>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</si>
  <si>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</si>
  <si>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</si>
  <si>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</si>
  <si>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</si>
  <si>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</si>
  <si>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</si>
  <si>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</si>
  <si>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</si>
  <si>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</si>
  <si>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</si>
  <si>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</si>
  <si>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</si>
  <si>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</si>
  <si>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</si>
  <si>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</si>
  <si>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</si>
  <si>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</si>
  <si>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</si>
  <si>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</si>
  <si>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</si>
  <si>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</si>
  <si>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</si>
  <si>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</si>
  <si>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</si>
  <si>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</si>
  <si>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</si>
  <si>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</si>
  <si>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</si>
  <si>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</si>
  <si>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</si>
  <si>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</si>
  <si>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</si>
  <si>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</si>
  <si>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</si>
  <si>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</si>
  <si>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</si>
  <si>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</si>
  <si>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</si>
  <si>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</si>
  <si>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</si>
  <si>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</si>
  <si>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</si>
  <si>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</si>
  <si>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</si>
  <si>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</si>
  <si>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</si>
  <si>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</si>
  <si>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</si>
  <si>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</si>
  <si>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</si>
  <si>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</si>
  <si>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</si>
  <si>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</si>
  <si>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</si>
  <si>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</si>
  <si>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</si>
  <si>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</si>
  <si>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</si>
  <si>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</si>
  <si>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</si>
  <si>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</si>
  <si>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</si>
  <si>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</si>
  <si>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</si>
  <si>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</si>
  <si>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</si>
  <si>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</si>
  <si>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</si>
  <si>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</si>
  <si>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</si>
  <si>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</si>
  <si>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</si>
  <si>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</si>
  <si>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</si>
  <si>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</si>
  <si>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</si>
  <si>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</si>
  <si>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</si>
  <si>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</si>
  <si>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</si>
  <si>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</si>
  <si>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</si>
  <si>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</si>
  <si>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</si>
  <si>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</si>
  <si>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</si>
  <si>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</si>
  <si>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</si>
  <si>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</si>
  <si>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</si>
  <si>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</si>
  <si>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</si>
  <si>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</si>
  <si>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</si>
  <si>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</si>
  <si>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</si>
  <si>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</si>
  <si>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</si>
  <si>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</si>
  <si>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</si>
  <si>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</si>
  <si>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</si>
  <si>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</si>
  <si>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</si>
  <si>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</si>
  <si>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</si>
  <si>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</si>
  <si>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</si>
  <si>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</si>
  <si>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</si>
  <si>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</si>
  <si>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</si>
  <si>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</si>
  <si>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</si>
  <si>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</si>
  <si>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</si>
  <si>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</si>
  <si>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</si>
  <si>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</si>
  <si>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</si>
  <si>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</si>
  <si>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</si>
  <si>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</si>
  <si>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</si>
  <si>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</si>
  <si>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</si>
  <si>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</si>
  <si>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</si>
  <si>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</si>
  <si>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</si>
  <si>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</si>
  <si>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</si>
  <si>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</si>
  <si>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</si>
  <si>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</si>
  <si>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</si>
  <si>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</si>
  <si>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</si>
  <si>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</si>
  <si>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</si>
  <si>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</si>
  <si>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</si>
  <si>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</si>
  <si>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</si>
  <si>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</si>
  <si>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</si>
  <si>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</si>
  <si>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</si>
  <si>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</si>
  <si>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</si>
  <si>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</si>
  <si>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</si>
  <si>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</si>
  <si>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</si>
  <si>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</si>
  <si>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</si>
  <si>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</si>
  <si>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</si>
  <si>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</si>
  <si>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</si>
  <si>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</si>
  <si>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</si>
  <si>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</si>
  <si>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</si>
  <si>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</si>
  <si>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</si>
  <si>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</si>
  <si>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</si>
  <si>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</si>
  <si>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</si>
  <si>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</si>
  <si>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</si>
  <si>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</si>
  <si>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</si>
  <si>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</si>
  <si>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</si>
  <si>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</si>
  <si>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</si>
  <si>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</si>
  <si>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</si>
  <si>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</si>
  <si>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</si>
  <si>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</si>
  <si>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</si>
  <si>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</si>
  <si>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</si>
  <si>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</si>
  <si>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</si>
  <si>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</si>
  <si>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</si>
  <si>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</si>
  <si>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</si>
  <si>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</si>
  <si>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</si>
  <si>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</si>
  <si>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</si>
  <si>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</si>
  <si>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</si>
  <si>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</si>
  <si>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</si>
  <si>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</si>
  <si>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</si>
  <si>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</si>
  <si>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</si>
  <si>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</si>
  <si>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</si>
  <si>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</si>
  <si>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</si>
  <si>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</si>
  <si>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</si>
  <si>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</si>
  <si>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</si>
  <si>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</si>
  <si>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</si>
  <si>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</si>
  <si>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</si>
  <si>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</si>
  <si>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</si>
  <si>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</si>
  <si>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</si>
  <si>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</si>
  <si>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</si>
  <si>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</si>
  <si>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</si>
  <si>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</si>
  <si>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</si>
  <si>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</si>
  <si>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</si>
  <si>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</si>
  <si>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</si>
  <si>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</si>
  <si>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</si>
  <si>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</si>
  <si>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</si>
  <si>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</si>
  <si>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</si>
  <si>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M_00.0002.000002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</si>
  <si>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</si>
  <si>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</si>
  <si>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</si>
  <si>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</si>
  <si>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</si>
  <si>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</si>
  <si>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</si>
  <si>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</si>
  <si>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</si>
  <si>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</si>
  <si>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</si>
  <si>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</si>
  <si>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</si>
  <si>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</si>
  <si>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</si>
  <si>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</si>
  <si>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</si>
  <si>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</si>
  <si>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</si>
  <si>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</si>
  <si>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</si>
  <si>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</si>
  <si>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</si>
  <si>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</si>
  <si>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</si>
  <si>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</si>
  <si>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</si>
  <si>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</si>
  <si>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</si>
  <si>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</si>
  <si>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</si>
  <si>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</si>
  <si>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</si>
  <si>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</si>
  <si>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</si>
  <si>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</si>
  <si>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</si>
  <si>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</si>
  <si>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</si>
  <si>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</si>
  <si>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</si>
  <si>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</si>
  <si>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</si>
  <si>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</si>
  <si>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</si>
  <si>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</si>
  <si>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</si>
  <si>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</si>
  <si>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</si>
  <si>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</si>
  <si>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</si>
  <si>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</si>
  <si>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</si>
  <si>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</si>
  <si>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</si>
  <si>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</si>
  <si>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</si>
  <si>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</si>
  <si>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</si>
  <si>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</si>
  <si>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с недостатком рабочего персонала в АО «РЭМиС» и привлеченных субподрядчиков, а также частичным смещением работ с 2024 года по причине несостоявшихся процедур на ЭТП, по выбору подрядчика на выполнение СМР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</si>
  <si>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 ПНР</t>
  </si>
  <si>
    <t>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</si>
  <si>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</si>
  <si>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</si>
  <si>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</si>
  <si>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АКЦИОНЕРНОЕ ОБЩЕСТВО "РЕМОНТЭНЕРГОМОНТАЖ И СЕРВИС"</t>
  </si>
  <si>
    <t>-</t>
  </si>
  <si>
    <t>да</t>
  </si>
  <si>
    <t>https://com.roseltorg.ru/</t>
  </si>
  <si>
    <t>ИП</t>
  </si>
  <si>
    <t>СМР</t>
  </si>
  <si>
    <t>ИП-23-00050 от 10.03.2023</t>
  </si>
  <si>
    <t>ПИР, СМР, ПНР</t>
  </si>
  <si>
    <t>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t>
  </si>
  <si>
    <t>Конкурентные переговоры в электронной форме</t>
  </si>
  <si>
    <t>АО "РЭМиС"</t>
  </si>
  <si>
    <t>https://www.roseltorg.ru/</t>
  </si>
  <si>
    <t>ИП-19-00101 от 17.06.2019</t>
  </si>
  <si>
    <t>ТМЦ</t>
  </si>
  <si>
    <t>Поставка разъединителей 110-220 кВ</t>
  </si>
  <si>
    <t>Аукцион в электронной форме</t>
  </si>
  <si>
    <t>ООО «ИЦС»</t>
  </si>
  <si>
    <t>ПД</t>
  </si>
  <si>
    <t>Общество с ограниченной ответственностью "Инженерный центр Сибири"</t>
  </si>
  <si>
    <t>ПД-23-00052 от 14.03.2023</t>
  </si>
  <si>
    <t>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</si>
  <si>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Закупка у единственного поставщика (подрядчика, исполнителя)</t>
  </si>
  <si>
    <t>8.2.2.8</t>
  </si>
  <si>
    <t>ЦЗК</t>
  </si>
  <si>
    <t>ИП-22-00419 от 27.12.2022</t>
  </si>
  <si>
    <t>ПИР, СМР</t>
  </si>
  <si>
    <t>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t>
  </si>
  <si>
    <t>Заключение договора с взаимозависимым юридическим лицом</t>
  </si>
  <si>
    <t>2.2.1.12</t>
  </si>
  <si>
    <t>Протокол №31</t>
  </si>
  <si>
    <t>ИП-20-00336 от 25.12.2020</t>
  </si>
  <si>
    <t>Проектно-изыскательские, строительно-монтажные и пусконаладочные работы</t>
  </si>
  <si>
    <t>Конкурс в электронной форме</t>
  </si>
  <si>
    <t>ИП-22-00024 от 16.02.2022</t>
  </si>
  <si>
    <t>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t>
  </si>
  <si>
    <t>Запрос предложений</t>
  </si>
  <si>
    <t>АО "РЭМиС"; Общество с ограниченной ответственностью "Проектный Центр Сибири"; Общество с ограниченной ответственностью «Агропромэнерго НСК»; ОБЩЕСТВО С ОГРАНИЧЕННОЙ 
ОТВЕТСТВЕННОСТЬЮ "ВЕЛЛЭНЕРДЖИ"</t>
  </si>
  <si>
    <t>48894,56; 48879,56; 48894,56; 48800,00</t>
  </si>
  <si>
    <t>Общество с ограниченной ответственностью "Проектный Центр Сибири"</t>
  </si>
  <si>
    <t>32950; 48894,56; 33900,00</t>
  </si>
  <si>
    <t>ИП-20-00079 от 26.03.2020</t>
  </si>
  <si>
    <t>ПИР</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</si>
  <si>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t>
  </si>
  <si>
    <t>ОБЩЕСТВО С ОГРАНИЧЕННОЙ ОТВЕТСТВЕННОСТЬЮ "ПРОЕКТНЫЙ ЦЕНТР СИБИРИ";
АКЦИОНЕРНОЕ ОБЩЕСТВО "ЭЛСИ ЭНЕРГОПРОЕКТ"</t>
  </si>
  <si>
    <t>3944,29038;
3747,07586</t>
  </si>
  <si>
    <t>ОБЩЕСТВО С ОГРАНИЧЕННОЙ ОТВЕТСТВЕННОСТЬЮ "ПРОЕКТНЫЙ ЦЕНТР СИБИРИ"</t>
  </si>
  <si>
    <t>ИП-24-00062 от 11.04.2024</t>
  </si>
  <si>
    <t>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t>
  </si>
  <si>
    <t>Несостоявшаяся закупочная процедура (низкая стоимость лота)</t>
  </si>
  <si>
    <t>процедура не состоялась</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</si>
  <si>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t>
  </si>
  <si>
    <t>ОГРАНИЧЕННОЙ ОТВЕТСТВЕННОСТЬЮ "ПРОЕКТНЫЙ ЦЕНТР СИБИРИ"
ОБЩЕСТВО С ОГРАНИЧЕННОЙ ОТВЕТСТВЕННОСТЬЮ "БАЙКАЛЭЛЕКТРО"
ОБЩЕСТВО С ОГРАНИЧЕННОЙ ОТВЕТСТВЕННОСТЬЮ "ВЕЛЛЭНЕРДЖИ"
ОБЩЕСТВО С ОГРАНИЧЕННОЙ ОТВЕТСТВЕННОСТЬЮ "ГРУППА КОМПАНИЙ "СВЯЗЬИНФОПРОЕКТ"</t>
  </si>
  <si>
    <t>7970,52
7970,52068
7970,52068
7970,52068</t>
  </si>
  <si>
    <t>6934,3524
6971</t>
  </si>
  <si>
    <t>ОГРАНИЧЕННОЙ ОТВЕТСТВЕННОСТЬЮ "ПРОЕКТНЫЙ ЦЕНТР СИБИРИ"</t>
  </si>
  <si>
    <t>ИП-24-00134 от 20.06.2024</t>
  </si>
  <si>
    <t>Поставка разъединителей на ПС 220 кВ Урожай</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</si>
  <si>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</si>
  <si>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</si>
  <si>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Общество с ограниченной ответственностью "ИНЖЕНЕРНЫЙ ЦЕНТР СИБИРИ"</t>
  </si>
  <si>
    <t>ПД-23-00291 от 26.09.2023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</si>
  <si>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</si>
  <si>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</si>
  <si>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</si>
  <si>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768 от 02.11.2022; 
№ 768/1 от 11.09.2023</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</si>
  <si>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</si>
  <si>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</si>
  <si>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</si>
  <si>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</si>
  <si>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</si>
  <si>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</si>
  <si>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воздушных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снизить затраты на эксплуатацию компрессорных установок и возможность последующего вывода из эксплуатации компрессорного хозяйства на подстанции, что позволит уменьшить количество опасных производственных объектов, для которых необходима регистрация в органах Ростехнадзора и проведение технического освидетельствования до октября 2022 года.
</t>
  </si>
  <si>
    <t>ПС 220 кВ Урожай</t>
  </si>
  <si>
    <t>65975,52 тыс. руб. с НДС на 1 выключатель 220 кВ</t>
  </si>
  <si>
    <t>1 этап 1-го пускового комплекса - замена ячейки выключателя В-291;
1 этап 2-го пускового комплекса - замена разъединителей, устройств РЗА ячейки выключателя В-291;
2 этап 1-го пускового комплекса - замена ячейки выключателя ШСВ-220;
2 этап 2-го пускового комплекса - замена разъединителей, устройств РЗА ячейки выключателя ШСВ-220;
3 этап 1-го пускового комплекса - замена ячейки выключателя В-220-1АТ;
3 этап 2-го пускового комплекса - замена разъединителей, устройств РЗА ячейки выключателя  В-220-1АТ;
4 этап 1-го пускового комплекса - замена ячейки выключателя В-220-2АТ;
4 этап 2-го пускового комплекса - замена разъединителей, устройств РЗА ячейки выключателя В-220-2АТ;
5 этап 1-го пускового комплекса - замена ячейки выключателя В-219;
5 этап 2-го пускового комплекса - замена разъединителей, устройств РЗА ячейки выключателя  В-219;
6 этап 1-го пускового комплекса - замена ячейки выключателя В-220;
6 этап 2-го пускового комплекса - замена разъединителей, устройств РЗА ячейки выключателя  В-220;
7 этап 1-го пускового комплекса - замена ячейки выключателя В-222;
7 этап 2-го пускового комплекса - замена разъединителей, устройств РЗА ячейки выключателя В-222;
8 этап 1-го пускового комплекса - замена ячейки выключателя В-221;
8 этап 2-го пускового комплекса - замена разъединителей, устройств РЗА ячейки выключателя В-221.</t>
  </si>
  <si>
    <t>1.Объект включён в инвестиционную программу на основании оценки технического состояния, подтвержденный индексом технического состояния (ИТС:45;45;48,7;52;52;48,7;44,1625;48,7)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ПС-2/09-2020 от 30.05.2020.</t>
  </si>
  <si>
    <t>1С, 2П</t>
  </si>
  <si>
    <t>Сибирский Федеральный округ, Новосибирская область, г. Карасук</t>
  </si>
  <si>
    <t>ВВБ 220 31,5/2000 У1</t>
  </si>
  <si>
    <t>Элегазовый выключатель</t>
  </si>
  <si>
    <t>В-220-1АТ</t>
  </si>
  <si>
    <t xml:space="preserve">Акт № ПС-2/09-2020 от 30.05.2020 технического освидетельствования ПС 220 кВ Урожай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</si>
  <si>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</si>
  <si>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В-220-2АТ</t>
  </si>
  <si>
    <t>ШСВ-220</t>
  </si>
  <si>
    <t>2019</t>
  </si>
  <si>
    <t>В-219</t>
  </si>
  <si>
    <t>2020</t>
  </si>
  <si>
    <t>В-220</t>
  </si>
  <si>
    <t>В-221</t>
  </si>
  <si>
    <t>2022</t>
  </si>
  <si>
    <t>В-222</t>
  </si>
  <si>
    <t>В-291</t>
  </si>
  <si>
    <t> 1983</t>
  </si>
  <si>
    <t/>
  </si>
  <si>
    <t>3;4</t>
  </si>
  <si>
    <t>1;2;3;4</t>
  </si>
  <si>
    <t>2;3;4</t>
  </si>
  <si>
    <t>1;3</t>
  </si>
  <si>
    <t>1;2;3</t>
  </si>
  <si>
    <t>3;3</t>
  </si>
  <si>
    <t>ОБЩЕСТВО С ОГРАНИЧЕННОЙ ОТВЕТСТВЕННОСТЬЮ "ЭКРА-СИБИРЬ"</t>
  </si>
  <si>
    <t>ИП-24-00238 от 15.10.2024</t>
  </si>
  <si>
    <t>80%</t>
  </si>
  <si>
    <t>65%</t>
  </si>
  <si>
    <t>100%</t>
  </si>
  <si>
    <t>10%</t>
  </si>
  <si>
    <t>КВЛ по состоянию на 01.01.2025, тыс. руб. без НДС (без ФОТ)</t>
  </si>
  <si>
    <t>ФИН по состоянию на 01.01.2025, тыс. руб. с НДС (без взаимозачетов)</t>
  </si>
  <si>
    <t>60%</t>
  </si>
  <si>
    <t>см. комментарии ниже по этапам</t>
  </si>
  <si>
    <t>Работы выполнены в соответствии со сроками указанными в договорах</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</si>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</sst>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3"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626</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575</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576</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579</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580</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580</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580</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580</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580</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580</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580</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582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580</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583</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183.07709739467492</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145.73194806416944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M_00.0002.000002</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450</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444</v>
      </c>
      <c r="I21" s="456"/>
      <c r="J21" s="449" t="s">
        <v>445</v>
      </c>
      <c r="K21" s="449"/>
      <c r="L21" s="456" t="s">
        <v>444</v>
      </c>
      <c r="M21" s="456"/>
      <c r="N21" s="449" t="s">
        <v>445</v>
      </c>
      <c r="O21" s="449"/>
      <c r="P21" s="439" t="s">
        <v>1</v>
      </c>
      <c r="Q21" s="439"/>
      <c r="R21" s="449" t="s">
        <v>445</v>
      </c>
      <c r="S21" s="449"/>
      <c r="T21" s="439" t="s">
        <v>1</v>
      </c>
      <c r="U21" s="439"/>
      <c r="V21" s="449" t="s">
        <v>445</v>
      </c>
      <c r="W21" s="449"/>
      <c r="X21" s="439" t="s">
        <v>1</v>
      </c>
      <c r="Y21" s="439"/>
      <c r="Z21" s="449" t="s">
        <v>445</v>
      </c>
      <c r="AA21" s="449"/>
      <c r="AB21" s="452"/>
      <c r="AC21" s="453"/>
    </row>
    <row r="22" spans="1:32" ht="89.25" customHeight="1" x14ac:dyDescent="0.25">
      <c r="A22" s="444"/>
      <c r="B22" s="444"/>
      <c r="C22" s="274" t="str">
        <f>H21</f>
        <v>Утвержденный план</v>
      </c>
      <c r="D22" s="283" t="s">
        <v>445</v>
      </c>
      <c r="E22" s="287" t="s">
        <v>446</v>
      </c>
      <c r="F22" s="287" t="s">
        <v>449</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518.32592800472946</v>
      </c>
      <c r="D24" s="279">
        <f t="shared" si="0"/>
        <v>527.80418164538196</v>
      </c>
      <c r="E24" s="284">
        <f t="shared" si="0"/>
        <v>199.49279444428095</v>
      </c>
      <c r="F24" s="284">
        <f t="shared" si="0"/>
        <v>198.43259624056532</v>
      </c>
      <c r="G24" s="267">
        <f t="shared" si="0"/>
        <v>1.0601982037156641</v>
      </c>
      <c r="H24" s="267">
        <f t="shared" si="0"/>
        <v>77.714466086569118</v>
      </c>
      <c r="I24" s="267" t="s">
        <v>425</v>
      </c>
      <c r="J24" s="279">
        <f t="shared" ref="J24:N24" si="1">J25+J26+J27+J32+J33</f>
        <v>95.77605056894086</v>
      </c>
      <c r="K24" s="279" t="s">
        <v>425</v>
      </c>
      <c r="L24" s="267">
        <f>L25+L26+L27+L32+L33</f>
        <v>105.3626313081058</v>
      </c>
      <c r="M24" s="267" t="s">
        <v>425</v>
      </c>
      <c r="N24" s="279">
        <f t="shared" si="1"/>
        <v>102.65654567162444</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183.07709739467492</v>
      </c>
      <c r="AC24" s="284">
        <f>AC25+AC26+AC27+AC32+AC33</f>
        <v>198.43259624056532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434.34329290794903</v>
      </c>
      <c r="D27" s="279">
        <v>441.59329579039348</v>
      </c>
      <c r="E27" s="285">
        <f>J27+N27+G27+P27+T27+X27</f>
        <v>166.27829414825703</v>
      </c>
      <c r="F27" s="285">
        <f t="shared" si="8"/>
        <v>166.00695402079089</v>
      </c>
      <c r="G27" s="267">
        <v>0.27134012746615832</v>
      </c>
      <c r="H27" s="267">
        <f>SUM(H28:H31)</f>
        <v>65.215806931723165</v>
      </c>
      <c r="I27" s="267" t="s">
        <v>425</v>
      </c>
      <c r="J27" s="279">
        <f t="shared" ref="J27" si="9">SUM(J28:J31)</f>
        <v>79.978407672469842</v>
      </c>
      <c r="K27" s="279" t="s">
        <v>425</v>
      </c>
      <c r="L27" s="267">
        <f>SUM(L28:L31)</f>
        <v>88.489629051424998</v>
      </c>
      <c r="M27" s="267" t="s">
        <v>425</v>
      </c>
      <c r="N27" s="279">
        <f t="shared" ref="N27" si="10">SUM(N28:N31)</f>
        <v>86.028546348321044</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153.70543598314816</v>
      </c>
      <c r="AC27" s="284">
        <f>J27+N27+R27+V27+Z27</f>
        <v>166.00695402079089</v>
      </c>
    </row>
    <row r="28" spans="1:32" x14ac:dyDescent="0.25">
      <c r="A28" s="58" t="s">
        <v>426</v>
      </c>
      <c r="B28" s="42" t="s">
        <v>168</v>
      </c>
      <c r="C28" s="268" t="s">
        <v>425</v>
      </c>
      <c r="D28" s="281" t="s">
        <v>425</v>
      </c>
      <c r="E28" s="281" t="s">
        <v>425</v>
      </c>
      <c r="F28" s="281" t="s">
        <v>425</v>
      </c>
      <c r="G28" s="266" t="s">
        <v>425</v>
      </c>
      <c r="H28" s="266">
        <v>0</v>
      </c>
      <c r="I28" s="268" t="s">
        <v>608</v>
      </c>
      <c r="J28" s="280">
        <v>11.98050230744191</v>
      </c>
      <c r="K28" s="281" t="s">
        <v>63</v>
      </c>
      <c r="L28" s="266">
        <v>8.3570329362581237</v>
      </c>
      <c r="M28" s="268" t="s">
        <v>63</v>
      </c>
      <c r="N28" s="280">
        <v>0</v>
      </c>
      <c r="O28" s="281" t="s">
        <v>608</v>
      </c>
      <c r="P28" s="154">
        <v>0</v>
      </c>
      <c r="Q28" s="154" t="s">
        <v>608</v>
      </c>
      <c r="R28" s="280">
        <v>0</v>
      </c>
      <c r="S28" s="281">
        <v>0</v>
      </c>
      <c r="T28" s="154">
        <v>0</v>
      </c>
      <c r="U28" s="154" t="s">
        <v>608</v>
      </c>
      <c r="V28" s="280">
        <v>0</v>
      </c>
      <c r="W28" s="281">
        <v>0</v>
      </c>
      <c r="X28" s="154">
        <v>0</v>
      </c>
      <c r="Y28" s="154" t="s">
        <v>608</v>
      </c>
      <c r="Z28" s="280">
        <v>0</v>
      </c>
      <c r="AA28" s="281">
        <v>0</v>
      </c>
      <c r="AB28" s="267">
        <f t="shared" ref="AB28:AB31" si="17">H28+L28+P28+T28+X28</f>
        <v>8.3570329362581237</v>
      </c>
      <c r="AC28" s="284">
        <f>J28+N28+R28+V28+Z28</f>
        <v>11.98050230744191</v>
      </c>
    </row>
    <row r="29" spans="1:32" ht="31.5" x14ac:dyDescent="0.25">
      <c r="A29" s="58" t="s">
        <v>427</v>
      </c>
      <c r="B29" s="42" t="s">
        <v>166</v>
      </c>
      <c r="C29" s="268" t="s">
        <v>425</v>
      </c>
      <c r="D29" s="281" t="s">
        <v>425</v>
      </c>
      <c r="E29" s="281" t="s">
        <v>425</v>
      </c>
      <c r="F29" s="281" t="s">
        <v>425</v>
      </c>
      <c r="G29" s="266" t="s">
        <v>425</v>
      </c>
      <c r="H29" s="266">
        <v>20.972635825582497</v>
      </c>
      <c r="I29" s="268" t="s">
        <v>612</v>
      </c>
      <c r="J29" s="280">
        <v>21.481740328886485</v>
      </c>
      <c r="K29" s="281" t="s">
        <v>59</v>
      </c>
      <c r="L29" s="266">
        <v>36.730589635506604</v>
      </c>
      <c r="M29" s="268" t="s">
        <v>59</v>
      </c>
      <c r="N29" s="280">
        <v>36.969596868370452</v>
      </c>
      <c r="O29" s="281" t="s">
        <v>609</v>
      </c>
      <c r="P29" s="154">
        <v>0</v>
      </c>
      <c r="Q29" s="288" t="s">
        <v>608</v>
      </c>
      <c r="R29" s="280">
        <v>0</v>
      </c>
      <c r="S29" s="281">
        <v>0</v>
      </c>
      <c r="T29" s="154">
        <v>0</v>
      </c>
      <c r="U29" s="154" t="s">
        <v>608</v>
      </c>
      <c r="V29" s="280">
        <v>0</v>
      </c>
      <c r="W29" s="281">
        <v>0</v>
      </c>
      <c r="X29" s="154">
        <v>0</v>
      </c>
      <c r="Y29" s="154" t="s">
        <v>608</v>
      </c>
      <c r="Z29" s="280">
        <v>0</v>
      </c>
      <c r="AA29" s="281">
        <v>0</v>
      </c>
      <c r="AB29" s="267">
        <f t="shared" si="17"/>
        <v>57.703225461089104</v>
      </c>
      <c r="AC29" s="284">
        <f>J29+N29+R29+V29+Z29</f>
        <v>58.451337197256933</v>
      </c>
      <c r="AD29" s="213"/>
      <c r="AE29" s="269"/>
    </row>
    <row r="30" spans="1:32" x14ac:dyDescent="0.25">
      <c r="A30" s="58" t="s">
        <v>428</v>
      </c>
      <c r="B30" s="42" t="s">
        <v>164</v>
      </c>
      <c r="C30" s="268" t="s">
        <v>425</v>
      </c>
      <c r="D30" s="281" t="s">
        <v>425</v>
      </c>
      <c r="E30" s="281" t="s">
        <v>425</v>
      </c>
      <c r="F30" s="281" t="s">
        <v>425</v>
      </c>
      <c r="G30" s="266" t="s">
        <v>425</v>
      </c>
      <c r="H30" s="266">
        <v>34.441201330750857</v>
      </c>
      <c r="I30" s="268" t="s">
        <v>612</v>
      </c>
      <c r="J30" s="280">
        <v>37.14799561939531</v>
      </c>
      <c r="K30" s="281" t="s">
        <v>59</v>
      </c>
      <c r="L30" s="266">
        <v>24.540770184582865</v>
      </c>
      <c r="M30" s="268" t="s">
        <v>59</v>
      </c>
      <c r="N30" s="280">
        <v>29.250266796344945</v>
      </c>
      <c r="O30" s="281" t="s">
        <v>609</v>
      </c>
      <c r="P30" s="154">
        <v>0</v>
      </c>
      <c r="Q30" s="154" t="s">
        <v>608</v>
      </c>
      <c r="R30" s="280">
        <v>0</v>
      </c>
      <c r="S30" s="281">
        <v>0</v>
      </c>
      <c r="T30" s="154">
        <v>0</v>
      </c>
      <c r="U30" s="154" t="s">
        <v>608</v>
      </c>
      <c r="V30" s="280">
        <v>0</v>
      </c>
      <c r="W30" s="281">
        <v>0</v>
      </c>
      <c r="X30" s="154">
        <v>0</v>
      </c>
      <c r="Y30" s="154" t="s">
        <v>608</v>
      </c>
      <c r="Z30" s="280">
        <v>0</v>
      </c>
      <c r="AA30" s="281">
        <v>0</v>
      </c>
      <c r="AB30" s="267">
        <f t="shared" si="17"/>
        <v>58.981971515333726</v>
      </c>
      <c r="AC30" s="284">
        <f>J30+N30+R30+V30+Z30</f>
        <v>66.398262415740248</v>
      </c>
      <c r="AD30" s="213"/>
      <c r="AE30" s="269"/>
    </row>
    <row r="31" spans="1:32" x14ac:dyDescent="0.25">
      <c r="A31" s="58" t="s">
        <v>429</v>
      </c>
      <c r="B31" s="42" t="s">
        <v>162</v>
      </c>
      <c r="C31" s="268" t="s">
        <v>425</v>
      </c>
      <c r="D31" s="281" t="s">
        <v>425</v>
      </c>
      <c r="E31" s="281" t="s">
        <v>425</v>
      </c>
      <c r="F31" s="281" t="s">
        <v>425</v>
      </c>
      <c r="G31" s="266" t="s">
        <v>425</v>
      </c>
      <c r="H31" s="266">
        <v>9.8019697753898072</v>
      </c>
      <c r="I31" s="268" t="s">
        <v>613</v>
      </c>
      <c r="J31" s="280">
        <v>9.3681694167461256</v>
      </c>
      <c r="K31" s="281" t="s">
        <v>610</v>
      </c>
      <c r="L31" s="266">
        <v>18.861236295077411</v>
      </c>
      <c r="M31" s="268" t="s">
        <v>610</v>
      </c>
      <c r="N31" s="280">
        <v>19.808682683605642</v>
      </c>
      <c r="O31" s="281" t="s">
        <v>611</v>
      </c>
      <c r="P31" s="154">
        <v>0</v>
      </c>
      <c r="Q31" s="154" t="s">
        <v>608</v>
      </c>
      <c r="R31" s="280">
        <v>0</v>
      </c>
      <c r="S31" s="281">
        <v>0</v>
      </c>
      <c r="T31" s="154">
        <v>0</v>
      </c>
      <c r="U31" s="154" t="s">
        <v>608</v>
      </c>
      <c r="V31" s="280">
        <v>0</v>
      </c>
      <c r="W31" s="281">
        <v>0</v>
      </c>
      <c r="X31" s="154">
        <v>0</v>
      </c>
      <c r="Y31" s="154" t="s">
        <v>608</v>
      </c>
      <c r="Z31" s="280">
        <v>0</v>
      </c>
      <c r="AA31" s="281">
        <v>0</v>
      </c>
      <c r="AB31" s="267">
        <f t="shared" si="17"/>
        <v>28.663206070467218</v>
      </c>
      <c r="AC31" s="284">
        <f>J31+N31+R31+V31+Z31</f>
        <v>29.176852100351766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83.982635096780427</v>
      </c>
      <c r="D33" s="280">
        <v>86.210885854988476</v>
      </c>
      <c r="E33" s="285">
        <f>J33+N33+G33+P33+T33+X33</f>
        <v>33.214500296023928</v>
      </c>
      <c r="F33" s="285">
        <f t="shared" ref="F33" si="18">E33-G33</f>
        <v>32.425642219774424</v>
      </c>
      <c r="G33" s="266">
        <v>0.78885807624950577</v>
      </c>
      <c r="H33" s="266">
        <v>12.498659154845955</v>
      </c>
      <c r="I33" s="266" t="str">
        <f>I31</f>
        <v>1;2;3</v>
      </c>
      <c r="J33" s="280">
        <v>15.797642896471022</v>
      </c>
      <c r="K33" s="280" t="str">
        <f>K31</f>
        <v>1;2;3;4</v>
      </c>
      <c r="L33" s="266">
        <v>16.873002256680802</v>
      </c>
      <c r="M33" s="266" t="str">
        <f>M31</f>
        <v>1;2;3;4</v>
      </c>
      <c r="N33" s="280">
        <v>16.627999323303403</v>
      </c>
      <c r="O33" s="280">
        <v>0</v>
      </c>
      <c r="P33" s="154">
        <v>0</v>
      </c>
      <c r="Q33" s="154">
        <v>0</v>
      </c>
      <c r="R33" s="280">
        <v>0</v>
      </c>
      <c r="S33" s="280">
        <v>0</v>
      </c>
      <c r="T33" s="154">
        <v>0</v>
      </c>
      <c r="U33" s="154">
        <v>0</v>
      </c>
      <c r="V33" s="280">
        <v>0</v>
      </c>
      <c r="W33" s="280">
        <v>0</v>
      </c>
      <c r="X33" s="154">
        <v>0</v>
      </c>
      <c r="Y33" s="154">
        <v>0</v>
      </c>
      <c r="Z33" s="280">
        <v>0</v>
      </c>
      <c r="AA33" s="280">
        <v>0</v>
      </c>
      <c r="AB33" s="266">
        <f>X33+L33+H33+P33+T33</f>
        <v>29.371661411526759</v>
      </c>
      <c r="AC33" s="280">
        <f>Z33+N33+J33+R33+V33</f>
        <v>32.425642219774424</v>
      </c>
    </row>
    <row r="34" spans="1:30" ht="47.25" x14ac:dyDescent="0.25">
      <c r="A34" s="60" t="s">
        <v>61</v>
      </c>
      <c r="B34" s="59" t="s">
        <v>170</v>
      </c>
      <c r="C34" s="267">
        <f>SUM(C35:C38)</f>
        <v>434.3500285631128</v>
      </c>
      <c r="D34" s="279">
        <f t="shared" ref="D34:G34" si="19">SUM(D35:D38)</f>
        <v>443.4953336900636</v>
      </c>
      <c r="E34" s="285">
        <f t="shared" ref="E34" si="20">J34+N34+G34+P34+T34+X34</f>
        <v>167.31034014006352</v>
      </c>
      <c r="F34" s="279">
        <f t="shared" si="19"/>
        <v>154.30291971291092</v>
      </c>
      <c r="G34" s="267">
        <f t="shared" si="19"/>
        <v>13.007420427152603</v>
      </c>
      <c r="H34" s="267">
        <f>SUM(H35:H38)</f>
        <v>64.687857167699576</v>
      </c>
      <c r="I34" s="267" t="s">
        <v>425</v>
      </c>
      <c r="J34" s="279">
        <f t="shared" ref="J34" si="21">SUM(J35:J38)</f>
        <v>68.374924575835536</v>
      </c>
      <c r="K34" s="279" t="s">
        <v>425</v>
      </c>
      <c r="L34" s="267">
        <f t="shared" ref="L34" si="22">SUM(L35:L38)</f>
        <v>81.044090896469882</v>
      </c>
      <c r="M34" s="267" t="s">
        <v>425</v>
      </c>
      <c r="N34" s="279">
        <f t="shared" ref="N34:P34" si="23">SUM(N35:N38)</f>
        <v>85.927995137075399</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145.73194806416944</v>
      </c>
      <c r="AC34" s="284">
        <f>J34+N34+R34+V34+Z34</f>
        <v>154.30291971291092</v>
      </c>
      <c r="AD34" s="213"/>
    </row>
    <row r="35" spans="1:30" x14ac:dyDescent="0.25">
      <c r="A35" s="60" t="s">
        <v>169</v>
      </c>
      <c r="B35" s="42" t="s">
        <v>168</v>
      </c>
      <c r="C35" s="266">
        <v>21.537214468322002</v>
      </c>
      <c r="D35" s="280">
        <v>21.523160707152602</v>
      </c>
      <c r="E35" s="285">
        <f>J35+N35+G35+P35+T35+X35</f>
        <v>11.955781027152602</v>
      </c>
      <c r="F35" s="285">
        <f>E35-G35</f>
        <v>0</v>
      </c>
      <c r="G35" s="266">
        <v>11.955781027152602</v>
      </c>
      <c r="H35" s="266">
        <v>8.2864449538766447</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8.2864449538766447</v>
      </c>
      <c r="AC35" s="284">
        <f>J35+N35+R35+V35+Z35</f>
        <v>0</v>
      </c>
      <c r="AD35" s="210"/>
    </row>
    <row r="36" spans="1:30" ht="31.5" x14ac:dyDescent="0.25">
      <c r="A36" s="60" t="s">
        <v>167</v>
      </c>
      <c r="B36" s="42" t="s">
        <v>166</v>
      </c>
      <c r="C36" s="266">
        <v>82.022288631798645</v>
      </c>
      <c r="D36" s="280">
        <v>85.467986565993087</v>
      </c>
      <c r="E36" s="285">
        <f>J36+N36+G36+P36+T36+X36</f>
        <v>58.200124675993081</v>
      </c>
      <c r="F36" s="285">
        <f t="shared" ref="F36:F37" si="30">E36-G36</f>
        <v>58.200124675993081</v>
      </c>
      <c r="G36" s="266">
        <v>0</v>
      </c>
      <c r="H36" s="266">
        <v>17.48603635863552</v>
      </c>
      <c r="I36" s="266" t="s">
        <v>59</v>
      </c>
      <c r="J36" s="280">
        <v>21.437413629542441</v>
      </c>
      <c r="K36" s="281" t="s">
        <v>609</v>
      </c>
      <c r="L36" s="266">
        <v>36.420343375401117</v>
      </c>
      <c r="M36" s="266" t="s">
        <v>59</v>
      </c>
      <c r="N36" s="280">
        <v>36.76271104645064</v>
      </c>
      <c r="O36" s="281" t="s">
        <v>609</v>
      </c>
      <c r="P36" s="154">
        <v>0</v>
      </c>
      <c r="Q36" s="155">
        <v>0</v>
      </c>
      <c r="R36" s="280">
        <v>0</v>
      </c>
      <c r="S36" s="281">
        <v>0</v>
      </c>
      <c r="T36" s="154">
        <v>0</v>
      </c>
      <c r="U36" s="155">
        <v>0</v>
      </c>
      <c r="V36" s="280">
        <v>0</v>
      </c>
      <c r="W36" s="281">
        <v>0</v>
      </c>
      <c r="X36" s="154">
        <v>0</v>
      </c>
      <c r="Y36" s="155">
        <v>0</v>
      </c>
      <c r="Z36" s="280">
        <v>0</v>
      </c>
      <c r="AA36" s="281">
        <v>0</v>
      </c>
      <c r="AB36" s="267">
        <f t="shared" si="29"/>
        <v>53.906379734036634</v>
      </c>
      <c r="AC36" s="284">
        <f>J36+N36+R36+V36+Z36</f>
        <v>58.200124675993081</v>
      </c>
    </row>
    <row r="37" spans="1:30" x14ac:dyDescent="0.25">
      <c r="A37" s="60" t="s">
        <v>165</v>
      </c>
      <c r="B37" s="42" t="s">
        <v>164</v>
      </c>
      <c r="C37" s="266">
        <v>290.60157910143721</v>
      </c>
      <c r="D37" s="280">
        <v>295.17675899248019</v>
      </c>
      <c r="E37" s="285">
        <f>J37+N37+G37+P37+T37+X37</f>
        <v>66.306834502480172</v>
      </c>
      <c r="F37" s="285">
        <f t="shared" si="30"/>
        <v>66.306834502480172</v>
      </c>
      <c r="G37" s="266">
        <v>0</v>
      </c>
      <c r="H37" s="266">
        <v>28.865135487366732</v>
      </c>
      <c r="I37" s="266" t="s">
        <v>59</v>
      </c>
      <c r="J37" s="280">
        <v>37.220255330565685</v>
      </c>
      <c r="K37" s="281" t="s">
        <v>609</v>
      </c>
      <c r="L37" s="266">
        <v>24.732033693195714</v>
      </c>
      <c r="M37" s="266" t="s">
        <v>610</v>
      </c>
      <c r="N37" s="280">
        <v>29.086579171914487</v>
      </c>
      <c r="O37" s="281" t="s">
        <v>609</v>
      </c>
      <c r="P37" s="154">
        <v>0</v>
      </c>
      <c r="Q37" s="155">
        <v>0</v>
      </c>
      <c r="R37" s="280">
        <v>0</v>
      </c>
      <c r="S37" s="281">
        <v>0</v>
      </c>
      <c r="T37" s="154">
        <v>0</v>
      </c>
      <c r="U37" s="155">
        <v>0</v>
      </c>
      <c r="V37" s="280">
        <v>0</v>
      </c>
      <c r="W37" s="281">
        <v>0</v>
      </c>
      <c r="X37" s="154">
        <v>0</v>
      </c>
      <c r="Y37" s="155">
        <v>0</v>
      </c>
      <c r="Z37" s="280">
        <v>0</v>
      </c>
      <c r="AA37" s="281">
        <v>0</v>
      </c>
      <c r="AB37" s="267">
        <f t="shared" si="29"/>
        <v>53.597169180562446</v>
      </c>
      <c r="AC37" s="284">
        <f>J37+N37+R37+V37+Z37</f>
        <v>66.306834502480172</v>
      </c>
    </row>
    <row r="38" spans="1:30" x14ac:dyDescent="0.25">
      <c r="A38" s="60" t="s">
        <v>163</v>
      </c>
      <c r="B38" s="42" t="s">
        <v>162</v>
      </c>
      <c r="C38" s="266">
        <v>40.188946361554954</v>
      </c>
      <c r="D38" s="280">
        <v>41.32742742443768</v>
      </c>
      <c r="E38" s="285">
        <f>J38+N38+G38+P38+T38+X38</f>
        <v>30.847599934437678</v>
      </c>
      <c r="F38" s="285">
        <f>E38-G38</f>
        <v>29.795960534437679</v>
      </c>
      <c r="G38" s="266">
        <v>1.0516394</v>
      </c>
      <c r="H38" s="266">
        <v>10.050240367820683</v>
      </c>
      <c r="I38" s="266" t="s">
        <v>610</v>
      </c>
      <c r="J38" s="280">
        <v>9.717255615727403</v>
      </c>
      <c r="K38" s="281" t="s">
        <v>610</v>
      </c>
      <c r="L38" s="266">
        <v>19.891713827873048</v>
      </c>
      <c r="M38" s="266">
        <v>0</v>
      </c>
      <c r="N38" s="280">
        <v>20.078704918710276</v>
      </c>
      <c r="O38" s="281" t="s">
        <v>611</v>
      </c>
      <c r="P38" s="154">
        <v>0</v>
      </c>
      <c r="Q38" s="155">
        <v>0</v>
      </c>
      <c r="R38" s="280">
        <v>0</v>
      </c>
      <c r="S38" s="281">
        <v>0</v>
      </c>
      <c r="T38" s="154">
        <v>0</v>
      </c>
      <c r="U38" s="155">
        <v>0</v>
      </c>
      <c r="V38" s="280">
        <v>0</v>
      </c>
      <c r="W38" s="281">
        <v>0</v>
      </c>
      <c r="X38" s="154">
        <v>0</v>
      </c>
      <c r="Y38" s="155">
        <v>0</v>
      </c>
      <c r="Z38" s="280">
        <v>0</v>
      </c>
      <c r="AA38" s="281">
        <v>0</v>
      </c>
      <c r="AB38" s="267">
        <f t="shared" si="29"/>
        <v>29.941954195693732</v>
      </c>
      <c r="AC38" s="284">
        <f>J38+N38+R38+V38+Z38</f>
        <v>29.795960534437679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66</v>
      </c>
      <c r="D46" s="280">
        <v>66</v>
      </c>
      <c r="E46" s="285">
        <f t="shared" si="31"/>
        <v>55</v>
      </c>
      <c r="F46" s="285">
        <f>E46-G46</f>
        <v>55</v>
      </c>
      <c r="G46" s="266">
        <v>0</v>
      </c>
      <c r="H46" s="266">
        <v>18</v>
      </c>
      <c r="I46" s="268" t="s">
        <v>59</v>
      </c>
      <c r="J46" s="280">
        <v>23</v>
      </c>
      <c r="K46" s="281" t="s">
        <v>59</v>
      </c>
      <c r="L46" s="266">
        <v>28</v>
      </c>
      <c r="M46" s="268" t="s">
        <v>59</v>
      </c>
      <c r="N46" s="280">
        <v>32</v>
      </c>
      <c r="O46" s="281" t="s">
        <v>59</v>
      </c>
      <c r="P46" s="154">
        <v>0</v>
      </c>
      <c r="Q46" s="155">
        <v>0</v>
      </c>
      <c r="R46" s="280">
        <v>0</v>
      </c>
      <c r="S46" s="281">
        <v>0</v>
      </c>
      <c r="T46" s="154">
        <v>0</v>
      </c>
      <c r="U46" s="155">
        <v>0</v>
      </c>
      <c r="V46" s="280">
        <v>0</v>
      </c>
      <c r="W46" s="281">
        <v>0</v>
      </c>
      <c r="X46" s="154">
        <v>0</v>
      </c>
      <c r="Y46" s="155">
        <v>0</v>
      </c>
      <c r="Z46" s="280">
        <v>0</v>
      </c>
      <c r="AA46" s="281">
        <v>0</v>
      </c>
      <c r="AB46" s="267">
        <f t="shared" si="29"/>
        <v>46</v>
      </c>
      <c r="AC46" s="284">
        <f t="shared" si="32"/>
        <v>55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66</v>
      </c>
      <c r="D54" s="280">
        <v>66</v>
      </c>
      <c r="E54" s="285">
        <f t="shared" si="34"/>
        <v>55</v>
      </c>
      <c r="F54" s="285">
        <f t="shared" si="33"/>
        <v>55</v>
      </c>
      <c r="G54" s="266">
        <v>0</v>
      </c>
      <c r="H54" s="266">
        <v>18</v>
      </c>
      <c r="I54" s="268" t="s">
        <v>59</v>
      </c>
      <c r="J54" s="280">
        <v>23</v>
      </c>
      <c r="K54" s="281" t="s">
        <v>59</v>
      </c>
      <c r="L54" s="266">
        <v>28</v>
      </c>
      <c r="M54" s="268" t="s">
        <v>59</v>
      </c>
      <c r="N54" s="280">
        <v>32</v>
      </c>
      <c r="O54" s="281" t="s">
        <v>59</v>
      </c>
      <c r="P54" s="154">
        <v>0</v>
      </c>
      <c r="Q54" s="155">
        <v>0</v>
      </c>
      <c r="R54" s="280">
        <v>0</v>
      </c>
      <c r="S54" s="281">
        <v>0</v>
      </c>
      <c r="T54" s="154">
        <v>0</v>
      </c>
      <c r="U54" s="155">
        <v>0</v>
      </c>
      <c r="V54" s="280">
        <v>0</v>
      </c>
      <c r="W54" s="281">
        <v>0</v>
      </c>
      <c r="X54" s="154">
        <v>0</v>
      </c>
      <c r="Y54" s="155">
        <v>0</v>
      </c>
      <c r="Z54" s="280">
        <v>0</v>
      </c>
      <c r="AA54" s="281">
        <v>0</v>
      </c>
      <c r="AB54" s="267">
        <f t="shared" si="29"/>
        <v>46</v>
      </c>
      <c r="AC54" s="284">
        <f t="shared" si="35"/>
        <v>55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434.35002856311286</v>
      </c>
      <c r="D56" s="280">
        <v>443.49533369006355</v>
      </c>
      <c r="E56" s="285">
        <f t="shared" ref="E56:E61" si="36">J56+N56+G56+P56+T56+X56</f>
        <v>268.14233010006359</v>
      </c>
      <c r="F56" s="280">
        <f t="shared" si="33"/>
        <v>261.59968713006361</v>
      </c>
      <c r="G56" s="266">
        <v>6.5426429700000002</v>
      </c>
      <c r="H56" s="266">
        <v>56.40141221382293</v>
      </c>
      <c r="I56" s="268" t="s">
        <v>59</v>
      </c>
      <c r="J56" s="280">
        <v>90.941713665837355</v>
      </c>
      <c r="K56" s="281" t="s">
        <v>59</v>
      </c>
      <c r="L56" s="266">
        <v>177.9310377073412</v>
      </c>
      <c r="M56" s="268" t="s">
        <v>59</v>
      </c>
      <c r="N56" s="280">
        <v>170.65797346422625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234.33244992116414</v>
      </c>
      <c r="AC56" s="284">
        <f t="shared" ref="AC56:AC68" si="38">J56+N56+R56+V56+Z56</f>
        <v>261.59968713006361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66</v>
      </c>
      <c r="D61" s="280">
        <v>66</v>
      </c>
      <c r="E61" s="285">
        <f t="shared" si="36"/>
        <v>55</v>
      </c>
      <c r="F61" s="285">
        <f t="shared" si="33"/>
        <v>55</v>
      </c>
      <c r="G61" s="266">
        <v>0</v>
      </c>
      <c r="H61" s="266">
        <v>18</v>
      </c>
      <c r="I61" s="268" t="s">
        <v>59</v>
      </c>
      <c r="J61" s="280">
        <v>23</v>
      </c>
      <c r="K61" s="281" t="s">
        <v>59</v>
      </c>
      <c r="L61" s="266">
        <v>28</v>
      </c>
      <c r="M61" s="268" t="s">
        <v>59</v>
      </c>
      <c r="N61" s="280">
        <v>32</v>
      </c>
      <c r="O61" s="281" t="s">
        <v>59</v>
      </c>
      <c r="P61" s="154">
        <v>0</v>
      </c>
      <c r="Q61" s="155">
        <v>0</v>
      </c>
      <c r="R61" s="280">
        <v>0</v>
      </c>
      <c r="S61" s="281">
        <v>0</v>
      </c>
      <c r="T61" s="154">
        <v>0</v>
      </c>
      <c r="U61" s="155">
        <v>0</v>
      </c>
      <c r="V61" s="280">
        <v>0</v>
      </c>
      <c r="W61" s="281">
        <v>0</v>
      </c>
      <c r="X61" s="154">
        <v>0</v>
      </c>
      <c r="Y61" s="155">
        <v>0</v>
      </c>
      <c r="Z61" s="280">
        <v>0</v>
      </c>
      <c r="AA61" s="281">
        <v>0</v>
      </c>
      <c r="AB61" s="267">
        <f t="shared" si="37"/>
        <v>46</v>
      </c>
      <c r="AC61" s="284">
        <f t="shared" si="38"/>
        <v>55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451</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9" zoomScale="80" zoomScaleSheetLayoutView="80" workbookViewId="0">
      <selection activeCell="AX1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M_00.0002.000002</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621</v>
      </c>
      <c r="AY22" s="464" t="s">
        <v>622</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51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384219.72048999998</v>
      </c>
      <c r="Q26" s="177" t="s">
        <v>425</v>
      </c>
      <c r="R26" s="179">
        <f>SUM(R27:R86)</f>
        <v>383849.29229999997</v>
      </c>
      <c r="S26" s="177" t="s">
        <v>425</v>
      </c>
      <c r="T26" s="177" t="s">
        <v>425</v>
      </c>
      <c r="U26" s="177" t="s">
        <v>425</v>
      </c>
      <c r="V26" s="177" t="s">
        <v>425</v>
      </c>
      <c r="W26" s="177" t="s">
        <v>425</v>
      </c>
      <c r="X26" s="177" t="s">
        <v>425</v>
      </c>
      <c r="Y26" s="177" t="s">
        <v>425</v>
      </c>
      <c r="Z26" s="177" t="s">
        <v>425</v>
      </c>
      <c r="AA26" s="177" t="s">
        <v>425</v>
      </c>
      <c r="AB26" s="179">
        <f>SUM(AB27:AB86)</f>
        <v>355686.10048000002</v>
      </c>
      <c r="AC26" s="177" t="s">
        <v>425</v>
      </c>
      <c r="AD26" s="179">
        <f>SUM(AD27:AD86)</f>
        <v>370042.93328035035</v>
      </c>
      <c r="AE26" s="179">
        <f>SUM(AE27:AE86)</f>
        <v>33514.656880350332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236219.40766</v>
      </c>
      <c r="AY26" s="179">
        <f t="shared" si="46"/>
        <v>340237.72058000002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5519</v>
      </c>
      <c r="Q27" s="214" t="s">
        <v>512</v>
      </c>
      <c r="R27" s="215">
        <v>5518.6303699999999</v>
      </c>
      <c r="S27" s="214" t="s">
        <v>513</v>
      </c>
      <c r="T27" s="214" t="s">
        <v>513</v>
      </c>
      <c r="U27" s="214">
        <v>4</v>
      </c>
      <c r="V27" s="214">
        <v>1</v>
      </c>
      <c r="W27" s="214" t="s">
        <v>514</v>
      </c>
      <c r="X27" s="214">
        <v>5518.6303699999999</v>
      </c>
      <c r="Y27" s="214" t="s">
        <v>515</v>
      </c>
      <c r="Z27" s="214">
        <v>1</v>
      </c>
      <c r="AA27" s="214">
        <v>5518.6303699999999</v>
      </c>
      <c r="AB27" s="215">
        <v>5518.6303699999999</v>
      </c>
      <c r="AC27" s="214" t="s">
        <v>514</v>
      </c>
      <c r="AD27" s="215">
        <v>6622.3564399999996</v>
      </c>
      <c r="AE27" s="291">
        <f>IF(IFERROR(AD27-AY27,"нд")&lt;0,0,IFERROR(AD27-AY27,"нд"))</f>
        <v>0</v>
      </c>
      <c r="AF27" s="214">
        <v>32312046660</v>
      </c>
      <c r="AG27" s="214" t="s">
        <v>516</v>
      </c>
      <c r="AH27" s="214" t="s">
        <v>517</v>
      </c>
      <c r="AI27" s="216">
        <v>44957</v>
      </c>
      <c r="AJ27" s="216">
        <v>44946</v>
      </c>
      <c r="AK27" s="216">
        <v>44965</v>
      </c>
      <c r="AL27" s="216">
        <v>44977</v>
      </c>
      <c r="AM27" s="214" t="s">
        <v>425</v>
      </c>
      <c r="AN27" s="214" t="s">
        <v>425</v>
      </c>
      <c r="AO27" s="214" t="s">
        <v>425</v>
      </c>
      <c r="AP27" s="214" t="s">
        <v>425</v>
      </c>
      <c r="AQ27" s="216">
        <v>44997</v>
      </c>
      <c r="AR27" s="216">
        <v>44995</v>
      </c>
      <c r="AS27" s="216">
        <v>44995</v>
      </c>
      <c r="AT27" s="216">
        <v>44995</v>
      </c>
      <c r="AU27" s="216">
        <v>45243</v>
      </c>
      <c r="AV27" s="214" t="s">
        <v>425</v>
      </c>
      <c r="AW27" s="214" t="s">
        <v>425</v>
      </c>
      <c r="AX27" s="217">
        <v>5518.6303699999999</v>
      </c>
      <c r="AY27" s="217">
        <v>6622.3564400000005</v>
      </c>
      <c r="AZ27" s="215" t="s">
        <v>518</v>
      </c>
      <c r="BA27" s="215" t="s">
        <v>519</v>
      </c>
      <c r="BB27" s="215" t="s">
        <v>514</v>
      </c>
      <c r="BC27" s="215" t="s">
        <v>520</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46586.77</v>
      </c>
      <c r="Q28" s="214" t="s">
        <v>512</v>
      </c>
      <c r="R28" s="215">
        <v>46484.6</v>
      </c>
      <c r="S28" s="214" t="s">
        <v>523</v>
      </c>
      <c r="T28" s="214" t="s">
        <v>523</v>
      </c>
      <c r="U28" s="214">
        <v>3</v>
      </c>
      <c r="V28" s="214">
        <v>1</v>
      </c>
      <c r="W28" s="214" t="s">
        <v>524</v>
      </c>
      <c r="X28" s="214">
        <v>46484.6</v>
      </c>
      <c r="Y28" s="214" t="s">
        <v>515</v>
      </c>
      <c r="Z28" s="214">
        <v>1</v>
      </c>
      <c r="AA28" s="214">
        <v>46484.6</v>
      </c>
      <c r="AB28" s="215">
        <v>46484.6</v>
      </c>
      <c r="AC28" s="214" t="s">
        <v>524</v>
      </c>
      <c r="AD28" s="215">
        <v>68834.460000000006</v>
      </c>
      <c r="AE28" s="291">
        <f t="shared" ref="AE28:AE86" si="49">IF(IFERROR(AD28-AY28,"нд")&lt;0,0,IFERROR(AD28-AY28,"нд"))</f>
        <v>8522.4024000000136</v>
      </c>
      <c r="AF28" s="214">
        <v>31907796061</v>
      </c>
      <c r="AG28" s="214" t="s">
        <v>516</v>
      </c>
      <c r="AH28" s="214" t="s">
        <v>525</v>
      </c>
      <c r="AI28" s="216">
        <v>43585</v>
      </c>
      <c r="AJ28" s="216">
        <v>43580</v>
      </c>
      <c r="AK28" s="216">
        <v>43585</v>
      </c>
      <c r="AL28" s="216">
        <v>43599</v>
      </c>
      <c r="AM28" s="214" t="s">
        <v>425</v>
      </c>
      <c r="AN28" s="214" t="s">
        <v>425</v>
      </c>
      <c r="AO28" s="214" t="s">
        <v>425</v>
      </c>
      <c r="AP28" s="214" t="s">
        <v>425</v>
      </c>
      <c r="AQ28" s="216">
        <v>43619</v>
      </c>
      <c r="AR28" s="216">
        <v>43633</v>
      </c>
      <c r="AS28" s="216">
        <v>43619</v>
      </c>
      <c r="AT28" s="216">
        <v>43619</v>
      </c>
      <c r="AU28" s="216">
        <v>43824</v>
      </c>
      <c r="AV28" s="214" t="s">
        <v>425</v>
      </c>
      <c r="AW28" s="214" t="s">
        <v>425</v>
      </c>
      <c r="AX28" s="215">
        <v>2948.0218400000003</v>
      </c>
      <c r="AY28" s="215">
        <v>60312.057599999993</v>
      </c>
      <c r="AZ28" s="215" t="s">
        <v>518</v>
      </c>
      <c r="BA28" s="215" t="s">
        <v>519</v>
      </c>
      <c r="BB28" s="215" t="s">
        <v>524</v>
      </c>
      <c r="BC28" s="215" t="s">
        <v>526</v>
      </c>
      <c r="BD28" s="215" t="str">
        <f t="shared" ref="BD28:BD86" si="50">CONCATENATE(BB28,", ",BA28,", ",N28,", ","договор № ",BC28)</f>
        <v>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527</v>
      </c>
      <c r="N29" s="214" t="s">
        <v>528</v>
      </c>
      <c r="O29" s="214" t="s">
        <v>511</v>
      </c>
      <c r="P29" s="215">
        <v>80304.5</v>
      </c>
      <c r="Q29" s="214" t="s">
        <v>512</v>
      </c>
      <c r="R29" s="215">
        <v>80304.5</v>
      </c>
      <c r="S29" s="214" t="s">
        <v>529</v>
      </c>
      <c r="T29" s="214" t="s">
        <v>529</v>
      </c>
      <c r="U29" s="214">
        <v>3</v>
      </c>
      <c r="V29" s="214">
        <v>1</v>
      </c>
      <c r="W29" s="214" t="s">
        <v>530</v>
      </c>
      <c r="X29" s="214">
        <v>79497.5</v>
      </c>
      <c r="Y29" s="214" t="s">
        <v>530</v>
      </c>
      <c r="Z29" s="214" t="s">
        <v>425</v>
      </c>
      <c r="AA29" s="214">
        <v>79497.5</v>
      </c>
      <c r="AB29" s="215">
        <v>79497.5</v>
      </c>
      <c r="AC29" s="214" t="s">
        <v>530</v>
      </c>
      <c r="AD29" s="215">
        <v>23546.770548350331</v>
      </c>
      <c r="AE29" s="291">
        <f t="shared" si="49"/>
        <v>16322.770548350331</v>
      </c>
      <c r="AF29" s="214">
        <v>32312047397</v>
      </c>
      <c r="AG29" s="214" t="s">
        <v>516</v>
      </c>
      <c r="AH29" s="214" t="s">
        <v>517</v>
      </c>
      <c r="AI29" s="216">
        <v>44957</v>
      </c>
      <c r="AJ29" s="216">
        <v>44946</v>
      </c>
      <c r="AK29" s="216">
        <v>44963</v>
      </c>
      <c r="AL29" s="216">
        <v>44979</v>
      </c>
      <c r="AM29" s="214" t="s">
        <v>425</v>
      </c>
      <c r="AN29" s="214" t="s">
        <v>425</v>
      </c>
      <c r="AO29" s="214" t="s">
        <v>425</v>
      </c>
      <c r="AP29" s="214" t="s">
        <v>425</v>
      </c>
      <c r="AQ29" s="216">
        <v>44999</v>
      </c>
      <c r="AR29" s="216">
        <v>44982</v>
      </c>
      <c r="AS29" s="216">
        <v>44999</v>
      </c>
      <c r="AT29" s="216">
        <v>44982</v>
      </c>
      <c r="AU29" s="216">
        <v>45061</v>
      </c>
      <c r="AV29" s="214" t="s">
        <v>425</v>
      </c>
      <c r="AW29" s="214" t="s">
        <v>425</v>
      </c>
      <c r="AX29" s="215">
        <v>6020</v>
      </c>
      <c r="AY29" s="215">
        <v>7224</v>
      </c>
      <c r="AZ29" s="215" t="s">
        <v>531</v>
      </c>
      <c r="BA29" s="215" t="s">
        <v>527</v>
      </c>
      <c r="BB29" s="215" t="s">
        <v>532</v>
      </c>
      <c r="BC29" s="215" t="s">
        <v>533</v>
      </c>
      <c r="BD29" s="215" t="str">
        <f t="shared" si="50"/>
        <v>Общество с ограниченной ответственностью "Инженерный центр Сибири", ТМЦ, Поставка разъединителей 110-220 кВ, договор № ПД-23-00052 от 14.03.2023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521</v>
      </c>
      <c r="N30" s="214" t="s">
        <v>534</v>
      </c>
      <c r="O30" s="214" t="s">
        <v>511</v>
      </c>
      <c r="P30" s="215">
        <v>1680.7518</v>
      </c>
      <c r="Q30" s="214" t="s">
        <v>512</v>
      </c>
      <c r="R30" s="215">
        <v>1680.7518</v>
      </c>
      <c r="S30" s="214" t="s">
        <v>535</v>
      </c>
      <c r="T30" s="214" t="s">
        <v>535</v>
      </c>
      <c r="U30" s="214" t="s">
        <v>425</v>
      </c>
      <c r="V30" s="214" t="s">
        <v>425</v>
      </c>
      <c r="W30" s="214" t="s">
        <v>425</v>
      </c>
      <c r="X30" s="214" t="s">
        <v>425</v>
      </c>
      <c r="Y30" s="214" t="s">
        <v>425</v>
      </c>
      <c r="Z30" s="214" t="s">
        <v>425</v>
      </c>
      <c r="AA30" s="214" t="s">
        <v>425</v>
      </c>
      <c r="AB30" s="215" t="s">
        <v>425</v>
      </c>
      <c r="AC30" s="214" t="s">
        <v>514</v>
      </c>
      <c r="AD30" s="215">
        <v>2016.9021599999999</v>
      </c>
      <c r="AE30" s="291">
        <f t="shared" si="49"/>
        <v>9.9999999747524271E-6</v>
      </c>
      <c r="AF30" s="214" t="s">
        <v>425</v>
      </c>
      <c r="AG30" s="214" t="s">
        <v>425</v>
      </c>
      <c r="AH30" s="214" t="s">
        <v>425</v>
      </c>
      <c r="AI30" s="216" t="s">
        <v>425</v>
      </c>
      <c r="AJ30" s="216" t="s">
        <v>425</v>
      </c>
      <c r="AK30" s="216" t="s">
        <v>425</v>
      </c>
      <c r="AL30" s="216" t="s">
        <v>425</v>
      </c>
      <c r="AM30" s="214" t="s">
        <v>536</v>
      </c>
      <c r="AN30" s="214" t="s">
        <v>537</v>
      </c>
      <c r="AO30" s="214">
        <v>44922</v>
      </c>
      <c r="AP30" s="214">
        <v>29</v>
      </c>
      <c r="AQ30" s="216">
        <v>44952</v>
      </c>
      <c r="AR30" s="216">
        <v>44922</v>
      </c>
      <c r="AS30" s="216">
        <v>44952</v>
      </c>
      <c r="AT30" s="216">
        <v>44922</v>
      </c>
      <c r="AU30" s="216">
        <v>45290</v>
      </c>
      <c r="AV30" s="214" t="s">
        <v>425</v>
      </c>
      <c r="AW30" s="214" t="s">
        <v>425</v>
      </c>
      <c r="AX30" s="215">
        <v>1680.7518</v>
      </c>
      <c r="AY30" s="215">
        <v>2016.9021499999999</v>
      </c>
      <c r="AZ30" s="215" t="s">
        <v>518</v>
      </c>
      <c r="BA30" s="215" t="s">
        <v>519</v>
      </c>
      <c r="BB30" s="215" t="s">
        <v>524</v>
      </c>
      <c r="BC30" s="215" t="s">
        <v>538</v>
      </c>
      <c r="BD30" s="215" t="str">
        <f t="shared" si="50"/>
        <v>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539</v>
      </c>
      <c r="N31" s="214" t="s">
        <v>540</v>
      </c>
      <c r="O31" s="214" t="s">
        <v>511</v>
      </c>
      <c r="P31" s="215">
        <v>39787.699000000001</v>
      </c>
      <c r="Q31" s="214" t="s">
        <v>512</v>
      </c>
      <c r="R31" s="215">
        <v>39787.699000000001</v>
      </c>
      <c r="S31" s="214" t="s">
        <v>541</v>
      </c>
      <c r="T31" s="214" t="s">
        <v>541</v>
      </c>
      <c r="U31" s="214" t="s">
        <v>425</v>
      </c>
      <c r="V31" s="214" t="s">
        <v>425</v>
      </c>
      <c r="W31" s="214" t="s">
        <v>425</v>
      </c>
      <c r="X31" s="214" t="s">
        <v>425</v>
      </c>
      <c r="Y31" s="214" t="s">
        <v>425</v>
      </c>
      <c r="Z31" s="214" t="s">
        <v>425</v>
      </c>
      <c r="AA31" s="214" t="s">
        <v>425</v>
      </c>
      <c r="AB31" s="215">
        <v>39787.699999999997</v>
      </c>
      <c r="AC31" s="214" t="s">
        <v>524</v>
      </c>
      <c r="AD31" s="215">
        <v>47745.24</v>
      </c>
      <c r="AE31" s="291">
        <f t="shared" si="49"/>
        <v>818.67338999999629</v>
      </c>
      <c r="AF31" s="214" t="s">
        <v>425</v>
      </c>
      <c r="AG31" s="214" t="s">
        <v>425</v>
      </c>
      <c r="AH31" s="214" t="s">
        <v>425</v>
      </c>
      <c r="AI31" s="216" t="s">
        <v>425</v>
      </c>
      <c r="AJ31" s="216" t="s">
        <v>425</v>
      </c>
      <c r="AK31" s="216" t="s">
        <v>425</v>
      </c>
      <c r="AL31" s="216" t="s">
        <v>425</v>
      </c>
      <c r="AM31" s="214" t="s">
        <v>542</v>
      </c>
      <c r="AN31" s="214" t="s">
        <v>537</v>
      </c>
      <c r="AO31" s="214">
        <v>44173</v>
      </c>
      <c r="AP31" s="214" t="s">
        <v>543</v>
      </c>
      <c r="AQ31" s="216">
        <v>44195</v>
      </c>
      <c r="AR31" s="216">
        <v>44190</v>
      </c>
      <c r="AS31" s="216">
        <v>44195</v>
      </c>
      <c r="AT31" s="216">
        <v>44190</v>
      </c>
      <c r="AU31" s="216">
        <v>44558</v>
      </c>
      <c r="AV31" s="214" t="s">
        <v>425</v>
      </c>
      <c r="AW31" s="214" t="s">
        <v>425</v>
      </c>
      <c r="AX31" s="215">
        <v>39105.472169999994</v>
      </c>
      <c r="AY31" s="215">
        <v>46926.566610000002</v>
      </c>
      <c r="AZ31" s="215" t="s">
        <v>518</v>
      </c>
      <c r="BA31" s="215" t="s">
        <v>519</v>
      </c>
      <c r="BB31" s="215" t="s">
        <v>524</v>
      </c>
      <c r="BC31" s="215" t="s">
        <v>544</v>
      </c>
      <c r="BD31" s="215" t="str">
        <f t="shared" si="50"/>
        <v>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521</v>
      </c>
      <c r="N32" s="214" t="s">
        <v>545</v>
      </c>
      <c r="O32" s="214" t="s">
        <v>511</v>
      </c>
      <c r="P32" s="215">
        <v>42910</v>
      </c>
      <c r="Q32" s="214" t="s">
        <v>512</v>
      </c>
      <c r="R32" s="215">
        <v>42910.172749999998</v>
      </c>
      <c r="S32" s="214" t="s">
        <v>546</v>
      </c>
      <c r="T32" s="214" t="s">
        <v>546</v>
      </c>
      <c r="U32" s="214">
        <v>3</v>
      </c>
      <c r="V32" s="214">
        <v>1</v>
      </c>
      <c r="W32" s="214" t="s">
        <v>514</v>
      </c>
      <c r="X32" s="214">
        <v>42910.172749999998</v>
      </c>
      <c r="Y32" s="214" t="s">
        <v>515</v>
      </c>
      <c r="Z32" s="214" t="s">
        <v>515</v>
      </c>
      <c r="AA32" s="214">
        <v>42910.172749999998</v>
      </c>
      <c r="AB32" s="215">
        <v>42910.172749999998</v>
      </c>
      <c r="AC32" s="214" t="s">
        <v>524</v>
      </c>
      <c r="AD32" s="215">
        <v>51492.207299999995</v>
      </c>
      <c r="AE32" s="291">
        <f t="shared" si="49"/>
        <v>0</v>
      </c>
      <c r="AF32" s="214">
        <v>32110992238</v>
      </c>
      <c r="AG32" s="214" t="s">
        <v>516</v>
      </c>
      <c r="AH32" s="214" t="s">
        <v>525</v>
      </c>
      <c r="AI32" s="216">
        <v>44561</v>
      </c>
      <c r="AJ32" s="216">
        <v>44557</v>
      </c>
      <c r="AK32" s="216">
        <v>44575</v>
      </c>
      <c r="AL32" s="216">
        <v>44588</v>
      </c>
      <c r="AM32" s="214" t="s">
        <v>425</v>
      </c>
      <c r="AN32" s="214" t="s">
        <v>425</v>
      </c>
      <c r="AO32" s="214" t="s">
        <v>425</v>
      </c>
      <c r="AP32" s="214" t="s">
        <v>425</v>
      </c>
      <c r="AQ32" s="216">
        <v>44608</v>
      </c>
      <c r="AR32" s="216">
        <v>44608</v>
      </c>
      <c r="AS32" s="216">
        <v>44608</v>
      </c>
      <c r="AT32" s="216">
        <v>44608</v>
      </c>
      <c r="AU32" s="216">
        <v>44925</v>
      </c>
      <c r="AV32" s="214" t="s">
        <v>425</v>
      </c>
      <c r="AW32" s="214" t="s">
        <v>425</v>
      </c>
      <c r="AX32" s="215">
        <v>46001.376230000002</v>
      </c>
      <c r="AY32" s="215">
        <v>55201.65148</v>
      </c>
      <c r="AZ32" s="215" t="s">
        <v>518</v>
      </c>
      <c r="BA32" s="215" t="s">
        <v>519</v>
      </c>
      <c r="BB32" s="215" t="s">
        <v>524</v>
      </c>
      <c r="BC32" s="215" t="s">
        <v>547</v>
      </c>
      <c r="BD32" s="215" t="str">
        <f t="shared" si="50"/>
        <v>АО "РЭМиС", СМР, Проектно-изыскательские, строительно-монтажные и пусконаладочные работы, договор № ИП-22-00024 от 16.02.2022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521</v>
      </c>
      <c r="N33" s="214" t="s">
        <v>548</v>
      </c>
      <c r="O33" s="214" t="s">
        <v>511</v>
      </c>
      <c r="P33" s="215">
        <v>48894.559690000002</v>
      </c>
      <c r="Q33" s="214" t="s">
        <v>512</v>
      </c>
      <c r="R33" s="215">
        <v>48894.559999999998</v>
      </c>
      <c r="S33" s="214" t="s">
        <v>549</v>
      </c>
      <c r="T33" s="214" t="s">
        <v>549</v>
      </c>
      <c r="U33" s="214">
        <v>2</v>
      </c>
      <c r="V33" s="214">
        <v>4</v>
      </c>
      <c r="W33" s="214" t="s">
        <v>550</v>
      </c>
      <c r="X33" s="214" t="s">
        <v>551</v>
      </c>
      <c r="Y33" s="214" t="s">
        <v>552</v>
      </c>
      <c r="Z33" s="214">
        <v>1</v>
      </c>
      <c r="AA33" s="214" t="s">
        <v>553</v>
      </c>
      <c r="AB33" s="215">
        <v>32950</v>
      </c>
      <c r="AC33" s="214" t="s">
        <v>524</v>
      </c>
      <c r="AD33" s="215">
        <v>39540</v>
      </c>
      <c r="AE33" s="291">
        <f t="shared" si="49"/>
        <v>2.180819999994128</v>
      </c>
      <c r="AF33" s="214">
        <v>32008815869</v>
      </c>
      <c r="AG33" s="214" t="s">
        <v>516</v>
      </c>
      <c r="AH33" s="214" t="s">
        <v>525</v>
      </c>
      <c r="AI33" s="216">
        <v>43861</v>
      </c>
      <c r="AJ33" s="216">
        <v>43859</v>
      </c>
      <c r="AK33" s="216">
        <v>43874</v>
      </c>
      <c r="AL33" s="216">
        <v>43896</v>
      </c>
      <c r="AM33" s="214" t="s">
        <v>425</v>
      </c>
      <c r="AN33" s="214" t="s">
        <v>425</v>
      </c>
      <c r="AO33" s="214" t="s">
        <v>425</v>
      </c>
      <c r="AP33" s="214" t="s">
        <v>425</v>
      </c>
      <c r="AQ33" s="216">
        <v>43916</v>
      </c>
      <c r="AR33" s="216">
        <v>43916</v>
      </c>
      <c r="AS33" s="216">
        <v>43916</v>
      </c>
      <c r="AT33" s="216">
        <v>43916</v>
      </c>
      <c r="AU33" s="216">
        <v>44190</v>
      </c>
      <c r="AV33" s="214" t="s">
        <v>425</v>
      </c>
      <c r="AW33" s="214" t="s">
        <v>425</v>
      </c>
      <c r="AX33" s="215">
        <v>32948.182650000002</v>
      </c>
      <c r="AY33" s="215">
        <v>39537.819180000006</v>
      </c>
      <c r="AZ33" s="215" t="s">
        <v>518</v>
      </c>
      <c r="BA33" s="215" t="s">
        <v>519</v>
      </c>
      <c r="BB33" s="215" t="s">
        <v>524</v>
      </c>
      <c r="BC33" s="215" t="s">
        <v>554</v>
      </c>
      <c r="BD33" s="215" t="str">
        <f t="shared" si="50"/>
        <v>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555</v>
      </c>
      <c r="N34" s="214" t="s">
        <v>556</v>
      </c>
      <c r="O34" s="214" t="s">
        <v>511</v>
      </c>
      <c r="P34" s="215">
        <v>3944</v>
      </c>
      <c r="Q34" s="214" t="s">
        <v>512</v>
      </c>
      <c r="R34" s="215">
        <v>3944.2903799999999</v>
      </c>
      <c r="S34" s="214" t="s">
        <v>549</v>
      </c>
      <c r="T34" s="214" t="s">
        <v>549</v>
      </c>
      <c r="U34" s="214" t="s">
        <v>425</v>
      </c>
      <c r="V34" s="214">
        <v>2</v>
      </c>
      <c r="W34" s="214" t="s">
        <v>557</v>
      </c>
      <c r="X34" s="214" t="s">
        <v>558</v>
      </c>
      <c r="Y34" s="214" t="s">
        <v>515</v>
      </c>
      <c r="Z34" s="214">
        <v>1</v>
      </c>
      <c r="AA34" s="214">
        <v>3900</v>
      </c>
      <c r="AB34" s="215">
        <v>3900</v>
      </c>
      <c r="AC34" s="214" t="s">
        <v>559</v>
      </c>
      <c r="AD34" s="215">
        <v>4680</v>
      </c>
      <c r="AE34" s="291">
        <f t="shared" si="49"/>
        <v>0</v>
      </c>
      <c r="AF34" s="214">
        <v>32413232751</v>
      </c>
      <c r="AG34" s="214" t="s">
        <v>516</v>
      </c>
      <c r="AH34" s="214" t="s">
        <v>525</v>
      </c>
      <c r="AI34" s="216">
        <v>45322</v>
      </c>
      <c r="AJ34" s="216">
        <v>45322</v>
      </c>
      <c r="AK34" s="216">
        <v>45334</v>
      </c>
      <c r="AL34" s="216">
        <v>45376</v>
      </c>
      <c r="AM34" s="214" t="s">
        <v>425</v>
      </c>
      <c r="AN34" s="214" t="s">
        <v>425</v>
      </c>
      <c r="AO34" s="214" t="s">
        <v>425</v>
      </c>
      <c r="AP34" s="214" t="s">
        <v>425</v>
      </c>
      <c r="AQ34" s="216">
        <v>45412</v>
      </c>
      <c r="AR34" s="216">
        <v>45393</v>
      </c>
      <c r="AS34" s="216">
        <v>45412</v>
      </c>
      <c r="AT34" s="216">
        <v>45393</v>
      </c>
      <c r="AU34" s="216">
        <v>45657</v>
      </c>
      <c r="AV34" s="214" t="s">
        <v>425</v>
      </c>
      <c r="AW34" s="214" t="s">
        <v>425</v>
      </c>
      <c r="AX34" s="215">
        <v>3900</v>
      </c>
      <c r="AY34" s="215">
        <v>4680</v>
      </c>
      <c r="AZ34" s="215" t="s">
        <v>518</v>
      </c>
      <c r="BA34" s="215" t="s">
        <v>555</v>
      </c>
      <c r="BB34" s="215" t="s">
        <v>559</v>
      </c>
      <c r="BC34" s="215" t="s">
        <v>560</v>
      </c>
      <c r="BD34" s="215"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519</v>
      </c>
      <c r="N35" s="214" t="s">
        <v>561</v>
      </c>
      <c r="O35" s="214" t="s">
        <v>511</v>
      </c>
      <c r="P35" s="215">
        <v>8820</v>
      </c>
      <c r="Q35" s="214" t="s">
        <v>512</v>
      </c>
      <c r="R35" s="215">
        <v>8552.1211999999996</v>
      </c>
      <c r="S35" s="214" t="s">
        <v>549</v>
      </c>
      <c r="T35" s="214" t="s">
        <v>549</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v>32413447492</v>
      </c>
      <c r="AG35" s="214" t="s">
        <v>516</v>
      </c>
      <c r="AH35" s="214" t="s">
        <v>525</v>
      </c>
      <c r="AI35" s="216">
        <v>45382</v>
      </c>
      <c r="AJ35" s="216">
        <v>45380</v>
      </c>
      <c r="AK35" s="216">
        <v>45415</v>
      </c>
      <c r="AL35" s="216">
        <v>45426</v>
      </c>
      <c r="AM35" s="214" t="s">
        <v>425</v>
      </c>
      <c r="AN35" s="214" t="s">
        <v>425</v>
      </c>
      <c r="AO35" s="214" t="s">
        <v>425</v>
      </c>
      <c r="AP35" s="214" t="s">
        <v>425</v>
      </c>
      <c r="AQ35" s="216">
        <v>45443</v>
      </c>
      <c r="AR35" s="216" t="s">
        <v>425</v>
      </c>
      <c r="AS35" s="216">
        <v>45443</v>
      </c>
      <c r="AT35" s="216" t="s">
        <v>425</v>
      </c>
      <c r="AU35" s="216">
        <v>45688</v>
      </c>
      <c r="AV35" s="214" t="s">
        <v>425</v>
      </c>
      <c r="AW35" s="214" t="s">
        <v>562</v>
      </c>
      <c r="AX35" s="215">
        <v>0</v>
      </c>
      <c r="AY35" s="215">
        <v>0</v>
      </c>
      <c r="AZ35" s="215" t="s">
        <v>518</v>
      </c>
      <c r="BA35" s="215" t="s">
        <v>519</v>
      </c>
      <c r="BB35" s="215" t="s">
        <v>425</v>
      </c>
      <c r="BC35" s="215" t="s">
        <v>563</v>
      </c>
      <c r="BD35" s="215" t="str">
        <f t="shared" si="50"/>
        <v>нд,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процедура не состоялась</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555</v>
      </c>
      <c r="N36" s="214" t="s">
        <v>564</v>
      </c>
      <c r="O36" s="214" t="s">
        <v>511</v>
      </c>
      <c r="P36" s="215">
        <v>7971</v>
      </c>
      <c r="Q36" s="214" t="s">
        <v>512</v>
      </c>
      <c r="R36" s="215">
        <v>7970.5267999999996</v>
      </c>
      <c r="S36" s="214" t="s">
        <v>549</v>
      </c>
      <c r="T36" s="214" t="s">
        <v>549</v>
      </c>
      <c r="U36" s="214">
        <v>3</v>
      </c>
      <c r="V36" s="214">
        <v>4</v>
      </c>
      <c r="W36" s="214" t="s">
        <v>565</v>
      </c>
      <c r="X36" s="214" t="s">
        <v>566</v>
      </c>
      <c r="Y36" s="214" t="s">
        <v>425</v>
      </c>
      <c r="Z36" s="214">
        <v>1</v>
      </c>
      <c r="AA36" s="214" t="s">
        <v>567</v>
      </c>
      <c r="AB36" s="215">
        <v>6934.3523999999998</v>
      </c>
      <c r="AC36" s="214" t="s">
        <v>568</v>
      </c>
      <c r="AD36" s="215">
        <v>8321.2228799999993</v>
      </c>
      <c r="AE36" s="291">
        <f t="shared" si="49"/>
        <v>0</v>
      </c>
      <c r="AF36" s="214">
        <v>32413526568</v>
      </c>
      <c r="AG36" s="214" t="s">
        <v>516</v>
      </c>
      <c r="AH36" s="214" t="s">
        <v>525</v>
      </c>
      <c r="AI36" s="216">
        <v>45412</v>
      </c>
      <c r="AJ36" s="216">
        <v>45401</v>
      </c>
      <c r="AK36" s="216">
        <v>45415</v>
      </c>
      <c r="AL36" s="216">
        <v>45443</v>
      </c>
      <c r="AM36" s="214" t="s">
        <v>425</v>
      </c>
      <c r="AN36" s="214" t="s">
        <v>425</v>
      </c>
      <c r="AO36" s="214" t="s">
        <v>425</v>
      </c>
      <c r="AP36" s="214" t="s">
        <v>425</v>
      </c>
      <c r="AQ36" s="216">
        <v>45473</v>
      </c>
      <c r="AR36" s="216">
        <v>45463</v>
      </c>
      <c r="AS36" s="216">
        <v>45473</v>
      </c>
      <c r="AT36" s="216">
        <v>45463</v>
      </c>
      <c r="AU36" s="216">
        <v>45657</v>
      </c>
      <c r="AV36" s="214" t="s">
        <v>425</v>
      </c>
      <c r="AW36" s="214" t="s">
        <v>425</v>
      </c>
      <c r="AX36" s="215">
        <v>6934.3523999999998</v>
      </c>
      <c r="AY36" s="215">
        <v>8321.2228799999993</v>
      </c>
      <c r="AZ36" s="215" t="s">
        <v>518</v>
      </c>
      <c r="BA36" s="215" t="s">
        <v>555</v>
      </c>
      <c r="BB36" s="215" t="s">
        <v>425</v>
      </c>
      <c r="BC36" s="215" t="s">
        <v>569</v>
      </c>
      <c r="BD36" s="215" t="str">
        <f t="shared" si="50"/>
        <v>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527</v>
      </c>
      <c r="N37" s="214" t="s">
        <v>570</v>
      </c>
      <c r="O37" s="214" t="s">
        <v>511</v>
      </c>
      <c r="P37" s="215">
        <v>87258.3</v>
      </c>
      <c r="Q37" s="214" t="s">
        <v>512</v>
      </c>
      <c r="R37" s="215">
        <v>87258.3</v>
      </c>
      <c r="S37" s="214" t="s">
        <v>571</v>
      </c>
      <c r="T37" s="214" t="s">
        <v>571</v>
      </c>
      <c r="U37" s="214" t="s">
        <v>425</v>
      </c>
      <c r="V37" s="214">
        <v>1</v>
      </c>
      <c r="W37" s="214" t="s">
        <v>572</v>
      </c>
      <c r="X37" s="214">
        <v>87258.3</v>
      </c>
      <c r="Y37" s="214" t="s">
        <v>425</v>
      </c>
      <c r="Z37" s="214">
        <v>1</v>
      </c>
      <c r="AA37" s="214">
        <v>87160</v>
      </c>
      <c r="AB37" s="215">
        <v>87160</v>
      </c>
      <c r="AC37" s="214" t="s">
        <v>572</v>
      </c>
      <c r="AD37" s="215">
        <v>104592</v>
      </c>
      <c r="AE37" s="291">
        <f t="shared" si="49"/>
        <v>0</v>
      </c>
      <c r="AF37" s="214">
        <v>32312672495</v>
      </c>
      <c r="AG37" s="214" t="s">
        <v>516</v>
      </c>
      <c r="AH37" s="214" t="s">
        <v>525</v>
      </c>
      <c r="AI37" s="216">
        <v>45169</v>
      </c>
      <c r="AJ37" s="216">
        <v>45153</v>
      </c>
      <c r="AK37" s="216">
        <v>45170</v>
      </c>
      <c r="AL37" s="216">
        <v>45181</v>
      </c>
      <c r="AM37" s="214" t="s">
        <v>425</v>
      </c>
      <c r="AN37" s="214" t="s">
        <v>425</v>
      </c>
      <c r="AO37" s="214" t="s">
        <v>425</v>
      </c>
      <c r="AP37" s="214" t="s">
        <v>425</v>
      </c>
      <c r="AQ37" s="216">
        <v>45201</v>
      </c>
      <c r="AR37" s="216">
        <v>45195</v>
      </c>
      <c r="AS37" s="216">
        <v>45201</v>
      </c>
      <c r="AT37" s="216">
        <v>45195</v>
      </c>
      <c r="AU37" s="216">
        <v>45288</v>
      </c>
      <c r="AV37" s="214" t="s">
        <v>425</v>
      </c>
      <c r="AW37" s="214" t="s">
        <v>425</v>
      </c>
      <c r="AX37" s="215">
        <v>87160</v>
      </c>
      <c r="AY37" s="215">
        <v>104592</v>
      </c>
      <c r="AZ37" s="215" t="s">
        <v>531</v>
      </c>
      <c r="BA37" s="215" t="s">
        <v>527</v>
      </c>
      <c r="BB37" s="215" t="s">
        <v>573</v>
      </c>
      <c r="BC37" s="215" t="s">
        <v>574</v>
      </c>
      <c r="BD37" s="215" t="str">
        <f t="shared" si="50"/>
        <v>Общество с ограниченной ответственностью "ИНЖЕНЕРНЫЙ ЦЕНТР СИБИРИ", ТМЦ, Поставка разъединителей на ПС 220 кВ Урожай, договор № ПД-23-00291 от 26.09.2023</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519</v>
      </c>
      <c r="N38" s="214" t="s">
        <v>561</v>
      </c>
      <c r="O38" s="214" t="s">
        <v>511</v>
      </c>
      <c r="P38" s="215">
        <v>10543.14</v>
      </c>
      <c r="Q38" s="214" t="s">
        <v>512</v>
      </c>
      <c r="R38" s="215">
        <v>10543.14</v>
      </c>
      <c r="S38" s="214" t="s">
        <v>513</v>
      </c>
      <c r="T38" s="214" t="s">
        <v>513</v>
      </c>
      <c r="U38" s="214">
        <v>2</v>
      </c>
      <c r="V38" s="214">
        <v>1</v>
      </c>
      <c r="W38" s="214" t="s">
        <v>615</v>
      </c>
      <c r="X38" s="214">
        <v>10543.14496</v>
      </c>
      <c r="Y38" s="214"/>
      <c r="Z38" s="214">
        <v>1</v>
      </c>
      <c r="AA38" s="214">
        <v>10543.14496</v>
      </c>
      <c r="AB38" s="215">
        <v>10543.14496</v>
      </c>
      <c r="AC38" s="214" t="s">
        <v>615</v>
      </c>
      <c r="AD38" s="215">
        <v>12651.773952</v>
      </c>
      <c r="AE38" s="291">
        <f t="shared" si="49"/>
        <v>7848.6297119999999</v>
      </c>
      <c r="AF38" s="214">
        <v>32413971490</v>
      </c>
      <c r="AG38" s="214" t="s">
        <v>516</v>
      </c>
      <c r="AH38" s="214" t="s">
        <v>525</v>
      </c>
      <c r="AI38" s="216">
        <v>45565</v>
      </c>
      <c r="AJ38" s="216">
        <v>45544</v>
      </c>
      <c r="AK38" s="216">
        <v>45554</v>
      </c>
      <c r="AL38" s="216">
        <v>45561</v>
      </c>
      <c r="AM38" s="214" t="s">
        <v>425</v>
      </c>
      <c r="AN38" s="214" t="s">
        <v>425</v>
      </c>
      <c r="AO38" s="214" t="s">
        <v>425</v>
      </c>
      <c r="AP38" s="214" t="s">
        <v>425</v>
      </c>
      <c r="AQ38" s="216">
        <v>45581</v>
      </c>
      <c r="AR38" s="216">
        <v>45580</v>
      </c>
      <c r="AS38" s="216">
        <v>20</v>
      </c>
      <c r="AT38" s="216">
        <v>45580</v>
      </c>
      <c r="AU38" s="216">
        <v>45961</v>
      </c>
      <c r="AV38" s="214" t="s">
        <v>425</v>
      </c>
      <c r="AW38" s="214" t="s">
        <v>425</v>
      </c>
      <c r="AX38" s="215">
        <v>4002.6202000000003</v>
      </c>
      <c r="AY38" s="215">
        <v>4803.1442399999996</v>
      </c>
      <c r="AZ38" s="215" t="s">
        <v>531</v>
      </c>
      <c r="BA38" s="215" t="s">
        <v>527</v>
      </c>
      <c r="BB38" s="215" t="s">
        <v>615</v>
      </c>
      <c r="BC38" s="215" t="s">
        <v>616</v>
      </c>
      <c r="BD38" s="215" t="str">
        <f t="shared" si="50"/>
        <v>ОБЩЕСТВО С ОГРАНИЧЕННОЙ ОТВЕТСТВЕННОСТЬЮ "ЭКРА-СИБИРЬ", ТМЦ,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2025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M_00.0002.000002</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586</v>
      </c>
    </row>
    <row r="22" spans="1:2" x14ac:dyDescent="0.25">
      <c r="A22" s="157" t="s">
        <v>306</v>
      </c>
      <c r="B22" s="157" t="s">
        <v>591</v>
      </c>
    </row>
    <row r="23" spans="1:2" x14ac:dyDescent="0.25">
      <c r="A23" s="157" t="s">
        <v>288</v>
      </c>
      <c r="B23" s="157" t="s">
        <v>577</v>
      </c>
    </row>
    <row r="24" spans="1:2" x14ac:dyDescent="0.25">
      <c r="A24" s="157" t="s">
        <v>307</v>
      </c>
      <c r="B24" s="157" t="s">
        <v>425</v>
      </c>
    </row>
    <row r="25" spans="1:2" x14ac:dyDescent="0.25">
      <c r="A25" s="158" t="s">
        <v>308</v>
      </c>
      <c r="B25" s="175">
        <v>46386</v>
      </c>
    </row>
    <row r="26" spans="1:2" x14ac:dyDescent="0.25">
      <c r="A26" s="158" t="s">
        <v>309</v>
      </c>
      <c r="B26" s="160" t="s">
        <v>590</v>
      </c>
    </row>
    <row r="27" spans="1:2" x14ac:dyDescent="0.25">
      <c r="A27" s="160" t="str">
        <f>CONCATENATE("Стоимость проекта в прогнозных ценах, млн. руб. с НДС")</f>
        <v>Стоимость проекта в прогнозных ценах, млн. руб. с НДС</v>
      </c>
      <c r="B27" s="171">
        <v>527.80418164538196</v>
      </c>
    </row>
    <row r="28" spans="1:2" ht="93.75" customHeight="1" x14ac:dyDescent="0.25">
      <c r="A28" s="159" t="s">
        <v>310</v>
      </c>
      <c r="B28" s="162" t="s">
        <v>578</v>
      </c>
    </row>
    <row r="29" spans="1:2" ht="28.5" x14ac:dyDescent="0.25">
      <c r="A29" s="160" t="s">
        <v>311</v>
      </c>
      <c r="B29" s="171">
        <f>'7. Паспорт отчет о закупке'!$AB$26*1.2/1000</f>
        <v>426.82332057600001</v>
      </c>
    </row>
    <row r="30" spans="1:2" ht="28.5" x14ac:dyDescent="0.25">
      <c r="A30" s="160" t="s">
        <v>312</v>
      </c>
      <c r="B30" s="171">
        <f>'7. Паспорт отчет о закупке'!$AD$26/1000</f>
        <v>370.04293328035033</v>
      </c>
    </row>
    <row r="31" spans="1:2" x14ac:dyDescent="0.25">
      <c r="A31" s="159" t="s">
        <v>313</v>
      </c>
      <c r="B31" s="161"/>
    </row>
    <row r="32" spans="1:2" ht="28.5" x14ac:dyDescent="0.25">
      <c r="A32" s="160" t="s">
        <v>314</v>
      </c>
      <c r="B32" s="171">
        <f>SUM(SUMIF(B33,"&gt;0",B33),SUMIF(B37,"&gt;0",B37),SUMIF(B41,"&gt;0",B41),SUMIF(B45,"&gt;0",B45),SUMIF(B49,"&gt;0",B49),SUMIF(B53,"&gt;0",B53))</f>
        <v>176.7111659</v>
      </c>
    </row>
    <row r="33" spans="1:2" ht="30" x14ac:dyDescent="0.25">
      <c r="A33" s="168" t="s">
        <v>433</v>
      </c>
      <c r="B33" s="161">
        <f>IFERROR(IF(VLOOKUP(1,'7. Паспорт отчет о закупке'!$A$27:$CD$86,52,0)="ИП",VLOOKUP(1,'7. Паспорт отчет о закупке'!$A$27:$CD$86,30,0)/1000,"нд"),"нд")</f>
        <v>6.6223564399999999</v>
      </c>
    </row>
    <row r="34" spans="1:2" x14ac:dyDescent="0.25">
      <c r="A34" s="168" t="s">
        <v>315</v>
      </c>
      <c r="B34" s="161">
        <f>IF(B33="нд","нд",$B33/$B$27*100)</f>
        <v>1.2546995022577123</v>
      </c>
    </row>
    <row r="35" spans="1:2" x14ac:dyDescent="0.25">
      <c r="A35" s="168" t="s">
        <v>316</v>
      </c>
      <c r="B35" s="161">
        <f>IF(VLOOKUP(1,'7. Паспорт отчет о закупке'!$A$27:$CD$86,52,0)="ИП",VLOOKUP(1,'7. Паспорт отчет о закупке'!$A$27:$CD$86,51,0)/1000,"нд")</f>
        <v>6.6223564400000008</v>
      </c>
    </row>
    <row r="36" spans="1:2" x14ac:dyDescent="0.25">
      <c r="A36" s="168" t="s">
        <v>437</v>
      </c>
      <c r="B36" s="161">
        <f>IF(VLOOKUP(1,'7. Паспорт отчет о закупке'!$A$27:$CD$86,52,0)="ИП",VLOOKUP(1,'7. Паспорт отчет о закупке'!$A$27:$CD$86,50,0)/1000,"нд")</f>
        <v>5.5186303699999995</v>
      </c>
    </row>
    <row r="37" spans="1:2" ht="30" x14ac:dyDescent="0.25">
      <c r="A37" s="168" t="s">
        <v>433</v>
      </c>
      <c r="B37" s="161">
        <f>IF(VLOOKUP(2,'7. Паспорт отчет о закупке'!$A$27:$CD$86,52,0)="ИП",VLOOKUP(2,'7. Паспорт отчет о закупке'!$A$27:$CD$86,30,0)/1000,"нд")</f>
        <v>68.834460000000007</v>
      </c>
    </row>
    <row r="38" spans="1:2" x14ac:dyDescent="0.25">
      <c r="A38" s="168" t="s">
        <v>315</v>
      </c>
      <c r="B38" s="161">
        <f>IF(B37="нд","нд",$B37/$B$27*100)</f>
        <v>13.041666283396008</v>
      </c>
    </row>
    <row r="39" spans="1:2" x14ac:dyDescent="0.25">
      <c r="A39" s="168" t="s">
        <v>316</v>
      </c>
      <c r="B39" s="161">
        <f>IF(VLOOKUP(2,'7. Паспорт отчет о закупке'!$A$27:$CD$86,52,0)="ИП",VLOOKUP(2,'7. Паспорт отчет о закупке'!$A$27:$CD$86,51,0)/1000,"нд")</f>
        <v>60.312057599999996</v>
      </c>
    </row>
    <row r="40" spans="1:2" x14ac:dyDescent="0.25">
      <c r="A40" s="168" t="s">
        <v>437</v>
      </c>
      <c r="B40" s="161">
        <f>IF(VLOOKUP(2,'7. Паспорт отчет о закупке'!$A$27:$CD$86,52,0)="ИП",VLOOKUP(2,'7. Паспорт отчет о закупке'!$A$27:$CD$86,50,0)/1000,"нд")</f>
        <v>2.9480218400000004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2.0169021599999999</v>
      </c>
    </row>
    <row r="46" spans="1:2" x14ac:dyDescent="0.25">
      <c r="A46" s="168" t="s">
        <v>315</v>
      </c>
      <c r="B46" s="161">
        <f>IF(B45="нд","нд",$B45/$B$27*100)</f>
        <v>0.38213076556394249</v>
      </c>
    </row>
    <row r="47" spans="1:2" x14ac:dyDescent="0.25">
      <c r="A47" s="168" t="s">
        <v>316</v>
      </c>
      <c r="B47" s="161">
        <f>IF(VLOOKUP(4,'7. Паспорт отчет о закупке'!$A$27:$CD$86,52,0)="ИП",VLOOKUP(4,'7. Паспорт отчет о закупке'!$A$27:$CD$86,51,0)/1000,"нд")</f>
        <v>2.0169021499999999</v>
      </c>
    </row>
    <row r="48" spans="1:2" x14ac:dyDescent="0.25">
      <c r="A48" s="168" t="s">
        <v>437</v>
      </c>
      <c r="B48" s="161">
        <f>IF(VLOOKUP(4,'7. Паспорт отчет о закупке'!$A$27:$CD$86,52,0)="ИП",VLOOKUP(4,'7. Паспорт отчет о закупке'!$A$27:$CD$86,50,0)/1000,"нд")</f>
        <v>1.6807517999999999</v>
      </c>
    </row>
    <row r="49" spans="1:2" ht="30" x14ac:dyDescent="0.25">
      <c r="A49" s="168" t="s">
        <v>433</v>
      </c>
      <c r="B49" s="161">
        <f>IF(VLOOKUP(5,'7. Паспорт отчет о закупке'!$A$27:$CD$86,52,0)="ИП",VLOOKUP(5,'7. Паспорт отчет о закупке'!$A$27:$CD$86,30,0)/1000,"нд")</f>
        <v>47.745239999999995</v>
      </c>
    </row>
    <row r="50" spans="1:2" x14ac:dyDescent="0.25">
      <c r="A50" s="168" t="s">
        <v>315</v>
      </c>
      <c r="B50" s="161">
        <f>IF(B49="нд","нд",$B49/$B$27*100)</f>
        <v>9.046013968884921</v>
      </c>
    </row>
    <row r="51" spans="1:2" x14ac:dyDescent="0.25">
      <c r="A51" s="168" t="s">
        <v>316</v>
      </c>
      <c r="B51" s="161">
        <f>IF(VLOOKUP(5,'7. Паспорт отчет о закупке'!$A$27:$CD$86,52,0)="ИП",VLOOKUP(5,'7. Паспорт отчет о закупке'!$A$27:$CD$86,51,0)/1000,"нд")</f>
        <v>46.926566610000002</v>
      </c>
    </row>
    <row r="52" spans="1:2" x14ac:dyDescent="0.25">
      <c r="A52" s="168" t="s">
        <v>437</v>
      </c>
      <c r="B52" s="161">
        <f>IF(VLOOKUP(5,'7. Паспорт отчет о закупке'!$A$27:$CD$86,52,0)="ИП",VLOOKUP(5,'7. Паспорт отчет о закупке'!$A$27:$CD$86,50,0)/1000,"нд")</f>
        <v>39.105472169999992</v>
      </c>
    </row>
    <row r="53" spans="1:2" ht="30" x14ac:dyDescent="0.25">
      <c r="A53" s="168" t="s">
        <v>433</v>
      </c>
      <c r="B53" s="161">
        <f>IF(VLOOKUP(6,'7. Паспорт отчет о закупке'!$A$27:$CD$86,52,0)="ИП",VLOOKUP(6,'7. Паспорт отчет о закупке'!$A$27:$CD$86,30,0)/1000,"нд")</f>
        <v>51.492207299999997</v>
      </c>
    </row>
    <row r="54" spans="1:2" x14ac:dyDescent="0.25">
      <c r="A54" s="168" t="s">
        <v>315</v>
      </c>
      <c r="B54" s="161">
        <f>IF(B53="нд","нд",$B53/$B$27*100)</f>
        <v>9.7559301518752051</v>
      </c>
    </row>
    <row r="55" spans="1:2" x14ac:dyDescent="0.25">
      <c r="A55" s="168" t="s">
        <v>316</v>
      </c>
      <c r="B55" s="161">
        <f>IF(VLOOKUP(6,'7. Паспорт отчет о закупке'!$A$27:$CD$86,52,0)="ИП",VLOOKUP(6,'7. Паспорт отчет о закупке'!$A$27:$CD$86,51,0)/1000,"нд")</f>
        <v>55.201651480000002</v>
      </c>
    </row>
    <row r="56" spans="1:2" x14ac:dyDescent="0.25">
      <c r="A56" s="168" t="s">
        <v>437</v>
      </c>
      <c r="B56" s="161">
        <f>IF(VLOOKUP(6,'7. Паспорт отчет о закупке'!$A$27:$CD$86,52,0)="ИП",VLOOKUP(6,'7. Паспорт отчет о закупке'!$A$27:$CD$86,50,0)/1000,"нд")</f>
        <v>46.001376229999998</v>
      </c>
    </row>
    <row r="57" spans="1:2" ht="28.5" x14ac:dyDescent="0.25">
      <c r="A57" s="169" t="s">
        <v>317</v>
      </c>
      <c r="B57" s="171">
        <f>SUM(SUMIF(B58,"&gt;0",B58),SUMIF(B62,"&gt;0",B62),SUMIF(B66,"&gt;0",B66),SUMIF(B70,"&gt;0",B70),SUMIF(B74,"&gt;0",B74))</f>
        <v>23.546770548350331</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23.546770548350331</v>
      </c>
    </row>
    <row r="67" spans="1:2" x14ac:dyDescent="0.25">
      <c r="A67" s="168" t="s">
        <v>315</v>
      </c>
      <c r="B67" s="161">
        <f>IF(B66="нд","нд",$B66/$B$27*100)</f>
        <v>4.4612701769329295</v>
      </c>
    </row>
    <row r="68" spans="1:2" x14ac:dyDescent="0.25">
      <c r="A68" s="168" t="s">
        <v>316</v>
      </c>
      <c r="B68" s="161">
        <f>IF(VLOOKUP(3,'7. Паспорт отчет о закупке'!$A$27:$CD$86,52,0)="ПД",VLOOKUP(3,'7. Паспорт отчет о закупке'!$A$27:$CD$86,51,0)/1000,"нд")</f>
        <v>7.2240000000000002</v>
      </c>
    </row>
    <row r="69" spans="1:2" x14ac:dyDescent="0.25">
      <c r="A69" s="168" t="s">
        <v>437</v>
      </c>
      <c r="B69" s="161">
        <f>IF(VLOOKUP(3,'7. Паспорт отчет о закупке'!$A$27:$CD$86,52,0)="ПД",VLOOKUP(3,'7. Паспорт отчет о закупке'!$A$27:$CD$86,50,0)/1000,"нд")</f>
        <v>6.02</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40.971855362315715</v>
      </c>
      <c r="C85" s="194"/>
      <c r="D85" s="195"/>
      <c r="E85" s="194"/>
      <c r="F85" s="194"/>
      <c r="G85" s="194"/>
    </row>
    <row r="86" spans="1:7" x14ac:dyDescent="0.25">
      <c r="A86" s="163" t="s">
        <v>321</v>
      </c>
      <c r="B86" s="166">
        <f>SUMIF('7. Паспорт отчет о закупке'!$BA$27:$BA$86,"ТМЦ",'7. Паспорт отчет о закупке'!$AD$27:$AD$86)/1000/$B$27*100</f>
        <v>26.674768673004536</v>
      </c>
      <c r="C86" s="194"/>
      <c r="D86" s="195"/>
      <c r="E86" s="194"/>
      <c r="F86" s="194"/>
      <c r="G86" s="194"/>
    </row>
    <row r="87" spans="1:7" x14ac:dyDescent="0.25">
      <c r="A87" s="163" t="s">
        <v>322</v>
      </c>
      <c r="B87" s="166">
        <f>SUMIF('7. Паспорт отчет о закупке'!$BA$27:$BA$86,"ПИР",'7. Паспорт отчет о закупке'!$AD$27:$AD$86)/1000/$B$27*100</f>
        <v>2.4632663650882529</v>
      </c>
      <c r="C87" s="194"/>
      <c r="D87" s="195"/>
      <c r="E87" s="194"/>
      <c r="F87" s="194"/>
      <c r="G87" s="194"/>
    </row>
    <row r="88" spans="1:7" ht="30" x14ac:dyDescent="0.25">
      <c r="A88" s="158" t="s">
        <v>439</v>
      </c>
      <c r="B88" s="171">
        <v>6.4064918194828886</v>
      </c>
      <c r="C88" s="194"/>
      <c r="D88" s="194"/>
      <c r="E88" s="194"/>
      <c r="F88" s="194"/>
      <c r="G88" s="194"/>
    </row>
    <row r="89" spans="1:7" x14ac:dyDescent="0.25">
      <c r="A89" s="158" t="s">
        <v>323</v>
      </c>
      <c r="B89" s="171">
        <f>'6.2. Паспорт фин осв ввод'!D24-'6.2. Паспорт фин осв ввод'!E24</f>
        <v>328.31138720110101</v>
      </c>
    </row>
    <row r="90" spans="1:7" x14ac:dyDescent="0.25">
      <c r="A90" s="158" t="s">
        <v>436</v>
      </c>
      <c r="B90" s="171">
        <f>IFERROR(SUM(B91*1.2/$B$27*100),0)</f>
        <v>62.792604489570714</v>
      </c>
    </row>
    <row r="91" spans="1:7" x14ac:dyDescent="0.25">
      <c r="A91" s="158" t="s">
        <v>441</v>
      </c>
      <c r="B91" s="171">
        <f>'6.2. Паспорт фин осв ввод'!D34-'6.2. Паспорт фин осв ввод'!E34</f>
        <v>276.18499355000006</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
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
Общество с ограниченной ответственностью "Инженерный центр Сибири", ТМЦ, Поставка разъединителей 110-220 кВ, договор № ПД-23-00052 от 14.03.2023
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
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
АО "РЭМиС", СМР, Проектно-изыскательские, строительно-монтажные и пусконаладочные работы, договор № ИП-22-00024 от 16.02.2022
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
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
нд,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процедура не состоялась
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
Общество с ограниченной ответственностью "ИНЖЕНЕРНЫЙ ЦЕНТР СИБИРИ", ТМЦ, Поставка разъединителей на ПС 220 кВ Урожай, договор № ПД-23-00291 от 26.09.2023
ОБЩЕСТВО С ОГРАНИЧЕННОЙ ОТВЕТСТВЕННОСТЬЮ "ЭКРА-СИБИРЬ", ТМЦ,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M_00.0002.000002</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5" t="s">
        <v>63</v>
      </c>
      <c r="B22" s="316" t="s">
        <v>425</v>
      </c>
      <c r="C22" s="314" t="s">
        <v>425</v>
      </c>
      <c r="D22" s="314" t="s">
        <v>425</v>
      </c>
      <c r="E22" s="314" t="s">
        <v>425</v>
      </c>
      <c r="F22" s="31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5"/>
      <c r="B23" s="317"/>
      <c r="C23" s="314"/>
      <c r="D23" s="314"/>
      <c r="E23" s="314"/>
      <c r="F23" s="31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5" t="s">
        <v>61</v>
      </c>
      <c r="B25" s="316" t="s">
        <v>425</v>
      </c>
      <c r="C25" s="314" t="s">
        <v>425</v>
      </c>
      <c r="D25" s="314" t="s">
        <v>425</v>
      </c>
      <c r="E25" s="314" t="s">
        <v>425</v>
      </c>
      <c r="F25" s="31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5"/>
      <c r="B26" s="317"/>
      <c r="C26" s="314"/>
      <c r="D26" s="314"/>
      <c r="E26" s="314"/>
      <c r="F26" s="31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5"/>
      <c r="B27" s="318"/>
      <c r="C27" s="314"/>
      <c r="D27" s="314"/>
      <c r="E27" s="314"/>
      <c r="F27" s="31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5">
        <v>3</v>
      </c>
      <c r="B28" s="316" t="s">
        <v>425</v>
      </c>
      <c r="C28" s="314" t="s">
        <v>425</v>
      </c>
      <c r="D28" s="314" t="s">
        <v>425</v>
      </c>
      <c r="E28" s="314" t="s">
        <v>425</v>
      </c>
      <c r="F28" s="31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5"/>
      <c r="B29" s="317"/>
      <c r="C29" s="314"/>
      <c r="D29" s="314"/>
      <c r="E29" s="314"/>
      <c r="F29" s="31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5"/>
      <c r="B30" s="318"/>
      <c r="C30" s="314"/>
      <c r="D30" s="314"/>
      <c r="E30" s="314"/>
      <c r="F30" s="31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5">
        <v>4</v>
      </c>
      <c r="B31" s="316" t="s">
        <v>425</v>
      </c>
      <c r="C31" s="314" t="s">
        <v>425</v>
      </c>
      <c r="D31" s="314" t="s">
        <v>425</v>
      </c>
      <c r="E31" s="314" t="s">
        <v>425</v>
      </c>
      <c r="F31" s="31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5"/>
      <c r="B32" s="317"/>
      <c r="C32" s="314"/>
      <c r="D32" s="314"/>
      <c r="E32" s="314"/>
      <c r="F32" s="31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5"/>
      <c r="B33" s="318"/>
      <c r="C33" s="314"/>
      <c r="D33" s="314"/>
      <c r="E33" s="314"/>
      <c r="F33" s="31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5">
        <v>5</v>
      </c>
      <c r="B34" s="316" t="s">
        <v>425</v>
      </c>
      <c r="C34" s="314" t="s">
        <v>425</v>
      </c>
      <c r="D34" s="314" t="s">
        <v>425</v>
      </c>
      <c r="E34" s="314" t="s">
        <v>425</v>
      </c>
      <c r="F34" s="31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5"/>
      <c r="B35" s="317"/>
      <c r="C35" s="314"/>
      <c r="D35" s="314"/>
      <c r="E35" s="314"/>
      <c r="F35" s="31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5"/>
      <c r="B36" s="318"/>
      <c r="C36" s="314"/>
      <c r="D36" s="314"/>
      <c r="E36" s="314"/>
      <c r="F36" s="31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M_00.0002.000002</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586</v>
      </c>
      <c r="C25" s="151" t="s">
        <v>586</v>
      </c>
      <c r="D25" s="151" t="s">
        <v>382</v>
      </c>
      <c r="E25" s="151" t="s">
        <v>592</v>
      </c>
      <c r="F25" s="151" t="s">
        <v>593</v>
      </c>
      <c r="G25" s="151" t="s">
        <v>594</v>
      </c>
      <c r="H25" s="151" t="s">
        <v>594</v>
      </c>
      <c r="I25" s="151">
        <v>1983</v>
      </c>
      <c r="J25" s="151">
        <v>2020</v>
      </c>
      <c r="K25" s="151">
        <v>1984</v>
      </c>
      <c r="L25" s="151">
        <v>220</v>
      </c>
      <c r="M25" s="151">
        <v>220</v>
      </c>
      <c r="N25" s="151" t="s">
        <v>425</v>
      </c>
      <c r="O25" s="151" t="s">
        <v>425</v>
      </c>
      <c r="P25" s="244">
        <v>2005</v>
      </c>
      <c r="Q25" s="151" t="s">
        <v>595</v>
      </c>
      <c r="R25" s="151" t="s">
        <v>596</v>
      </c>
      <c r="S25" s="151" t="s">
        <v>425</v>
      </c>
      <c r="T25" s="151" t="s">
        <v>425</v>
      </c>
    </row>
    <row r="26" spans="1:20" s="152" customFormat="1" ht="112.5" customHeight="1" x14ac:dyDescent="0.25">
      <c r="A26" s="151">
        <v>2</v>
      </c>
      <c r="B26" s="151" t="s">
        <v>586</v>
      </c>
      <c r="C26" s="151" t="s">
        <v>586</v>
      </c>
      <c r="D26" s="151" t="s">
        <v>382</v>
      </c>
      <c r="E26" s="151" t="s">
        <v>592</v>
      </c>
      <c r="F26" s="151" t="s">
        <v>593</v>
      </c>
      <c r="G26" s="151" t="s">
        <v>597</v>
      </c>
      <c r="H26" s="151" t="s">
        <v>597</v>
      </c>
      <c r="I26" s="151">
        <v>1984</v>
      </c>
      <c r="J26" s="151">
        <v>2020</v>
      </c>
      <c r="K26" s="151">
        <v>1984</v>
      </c>
      <c r="L26" s="151">
        <v>220</v>
      </c>
      <c r="M26" s="151">
        <v>220</v>
      </c>
      <c r="N26" s="151" t="s">
        <v>425</v>
      </c>
      <c r="O26" s="151" t="s">
        <v>425</v>
      </c>
      <c r="P26" s="151">
        <v>2004</v>
      </c>
      <c r="Q26" s="151" t="s">
        <v>595</v>
      </c>
      <c r="R26" s="151" t="s">
        <v>596</v>
      </c>
      <c r="S26" s="151" t="s">
        <v>425</v>
      </c>
      <c r="T26" s="151" t="s">
        <v>425</v>
      </c>
    </row>
    <row r="27" spans="1:20" s="152" customFormat="1" ht="112.5" customHeight="1" x14ac:dyDescent="0.25">
      <c r="A27" s="151">
        <v>3</v>
      </c>
      <c r="B27" s="151" t="s">
        <v>586</v>
      </c>
      <c r="C27" s="151" t="s">
        <v>586</v>
      </c>
      <c r="D27" s="151" t="s">
        <v>382</v>
      </c>
      <c r="E27" s="151" t="s">
        <v>592</v>
      </c>
      <c r="F27" s="151" t="s">
        <v>593</v>
      </c>
      <c r="G27" s="151" t="s">
        <v>598</v>
      </c>
      <c r="H27" s="151" t="s">
        <v>598</v>
      </c>
      <c r="I27" s="151">
        <v>1983</v>
      </c>
      <c r="J27" s="151" t="s">
        <v>599</v>
      </c>
      <c r="K27" s="151">
        <v>1984</v>
      </c>
      <c r="L27" s="151">
        <v>220</v>
      </c>
      <c r="M27" s="151">
        <v>220</v>
      </c>
      <c r="N27" s="151" t="s">
        <v>425</v>
      </c>
      <c r="O27" s="151" t="s">
        <v>425</v>
      </c>
      <c r="P27" s="151">
        <v>2000</v>
      </c>
      <c r="Q27" s="151" t="s">
        <v>595</v>
      </c>
      <c r="R27" s="151" t="s">
        <v>596</v>
      </c>
      <c r="S27" s="151" t="s">
        <v>425</v>
      </c>
      <c r="T27" s="151" t="s">
        <v>425</v>
      </c>
    </row>
    <row r="28" spans="1:20" s="152" customFormat="1" ht="112.5" customHeight="1" x14ac:dyDescent="0.25">
      <c r="A28" s="151">
        <v>4</v>
      </c>
      <c r="B28" s="151" t="s">
        <v>586</v>
      </c>
      <c r="C28" s="151" t="s">
        <v>586</v>
      </c>
      <c r="D28" s="151" t="s">
        <v>382</v>
      </c>
      <c r="E28" s="151" t="s">
        <v>592</v>
      </c>
      <c r="F28" s="151" t="s">
        <v>593</v>
      </c>
      <c r="G28" s="151" t="s">
        <v>600</v>
      </c>
      <c r="H28" s="151" t="s">
        <v>600</v>
      </c>
      <c r="I28" s="151">
        <v>1983</v>
      </c>
      <c r="J28" s="151" t="s">
        <v>601</v>
      </c>
      <c r="K28" s="151">
        <v>1983</v>
      </c>
      <c r="L28" s="151">
        <v>220</v>
      </c>
      <c r="M28" s="151">
        <v>220</v>
      </c>
      <c r="N28" s="151" t="s">
        <v>425</v>
      </c>
      <c r="O28" s="151" t="s">
        <v>425</v>
      </c>
      <c r="P28" s="151">
        <v>2009</v>
      </c>
      <c r="Q28" s="151" t="s">
        <v>595</v>
      </c>
      <c r="R28" s="151" t="s">
        <v>596</v>
      </c>
      <c r="S28" s="151" t="s">
        <v>425</v>
      </c>
      <c r="T28" s="151" t="s">
        <v>425</v>
      </c>
    </row>
    <row r="29" spans="1:20" s="152" customFormat="1" ht="112.5" customHeight="1" x14ac:dyDescent="0.25">
      <c r="A29" s="151">
        <v>5</v>
      </c>
      <c r="B29" s="151" t="s">
        <v>586</v>
      </c>
      <c r="C29" s="151" t="s">
        <v>586</v>
      </c>
      <c r="D29" s="151" t="s">
        <v>382</v>
      </c>
      <c r="E29" s="151" t="s">
        <v>592</v>
      </c>
      <c r="F29" s="151" t="s">
        <v>593</v>
      </c>
      <c r="G29" s="151" t="s">
        <v>602</v>
      </c>
      <c r="H29" s="151" t="s">
        <v>602</v>
      </c>
      <c r="I29" s="151">
        <v>1982</v>
      </c>
      <c r="J29" s="151" t="s">
        <v>601</v>
      </c>
      <c r="K29" s="151">
        <v>1983</v>
      </c>
      <c r="L29" s="151">
        <v>220</v>
      </c>
      <c r="M29" s="151">
        <v>220</v>
      </c>
      <c r="N29" s="151" t="s">
        <v>425</v>
      </c>
      <c r="O29" s="151" t="s">
        <v>425</v>
      </c>
      <c r="P29" s="151">
        <v>2006</v>
      </c>
      <c r="Q29" s="151" t="s">
        <v>595</v>
      </c>
      <c r="R29" s="151" t="s">
        <v>596</v>
      </c>
      <c r="S29" s="151" t="s">
        <v>425</v>
      </c>
      <c r="T29" s="151" t="s">
        <v>425</v>
      </c>
    </row>
    <row r="30" spans="1:20" s="152" customFormat="1" ht="112.5" customHeight="1" x14ac:dyDescent="0.25">
      <c r="A30" s="151">
        <v>6</v>
      </c>
      <c r="B30" s="151" t="s">
        <v>586</v>
      </c>
      <c r="C30" s="151" t="s">
        <v>586</v>
      </c>
      <c r="D30" s="151" t="s">
        <v>382</v>
      </c>
      <c r="E30" s="151" t="s">
        <v>592</v>
      </c>
      <c r="F30" s="151" t="s">
        <v>593</v>
      </c>
      <c r="G30" s="151" t="s">
        <v>603</v>
      </c>
      <c r="H30" s="151" t="s">
        <v>603</v>
      </c>
      <c r="I30" s="151">
        <v>1982</v>
      </c>
      <c r="J30" s="151" t="s">
        <v>604</v>
      </c>
      <c r="K30" s="151">
        <v>1983</v>
      </c>
      <c r="L30" s="151">
        <v>220</v>
      </c>
      <c r="M30" s="151">
        <v>220</v>
      </c>
      <c r="N30" s="151" t="s">
        <v>425</v>
      </c>
      <c r="O30" s="151" t="s">
        <v>425</v>
      </c>
      <c r="P30" s="151">
        <v>2001</v>
      </c>
      <c r="Q30" s="151" t="s">
        <v>595</v>
      </c>
      <c r="R30" s="151" t="s">
        <v>596</v>
      </c>
      <c r="S30" s="151" t="s">
        <v>425</v>
      </c>
      <c r="T30" s="151" t="s">
        <v>425</v>
      </c>
    </row>
    <row r="31" spans="1:20" s="152" customFormat="1" ht="112.5" customHeight="1" x14ac:dyDescent="0.25">
      <c r="A31" s="151">
        <v>7</v>
      </c>
      <c r="B31" s="151" t="s">
        <v>586</v>
      </c>
      <c r="C31" s="151" t="s">
        <v>586</v>
      </c>
      <c r="D31" s="151" t="s">
        <v>382</v>
      </c>
      <c r="E31" s="151" t="s">
        <v>592</v>
      </c>
      <c r="F31" s="151" t="s">
        <v>593</v>
      </c>
      <c r="G31" s="151" t="s">
        <v>605</v>
      </c>
      <c r="H31" s="151" t="s">
        <v>605</v>
      </c>
      <c r="I31" s="151">
        <v>1982</v>
      </c>
      <c r="J31" s="151" t="s">
        <v>604</v>
      </c>
      <c r="K31" s="151">
        <v>1983</v>
      </c>
      <c r="L31" s="151">
        <v>220</v>
      </c>
      <c r="M31" s="151">
        <v>220</v>
      </c>
      <c r="N31" s="151" t="s">
        <v>425</v>
      </c>
      <c r="O31" s="151" t="s">
        <v>425</v>
      </c>
      <c r="P31" s="151">
        <v>2002</v>
      </c>
      <c r="Q31" s="151" t="s">
        <v>595</v>
      </c>
      <c r="R31" s="151" t="s">
        <v>596</v>
      </c>
      <c r="S31" s="151" t="s">
        <v>425</v>
      </c>
      <c r="T31" s="151" t="s">
        <v>425</v>
      </c>
    </row>
    <row r="32" spans="1:20" s="152" customFormat="1" ht="110.25" x14ac:dyDescent="0.25">
      <c r="A32" s="151">
        <v>8</v>
      </c>
      <c r="B32" s="151" t="s">
        <v>586</v>
      </c>
      <c r="C32" s="151" t="s">
        <v>586</v>
      </c>
      <c r="D32" s="151" t="s">
        <v>382</v>
      </c>
      <c r="E32" s="151" t="s">
        <v>592</v>
      </c>
      <c r="F32" s="151" t="s">
        <v>593</v>
      </c>
      <c r="G32" s="151" t="s">
        <v>606</v>
      </c>
      <c r="H32" s="151" t="s">
        <v>606</v>
      </c>
      <c r="I32" s="151" t="s">
        <v>607</v>
      </c>
      <c r="J32" s="151" t="s">
        <v>599</v>
      </c>
      <c r="K32" s="151">
        <v>1983</v>
      </c>
      <c r="L32" s="151">
        <v>220</v>
      </c>
      <c r="M32" s="151">
        <v>220</v>
      </c>
      <c r="N32" s="151" t="s">
        <v>425</v>
      </c>
      <c r="O32" s="151" t="s">
        <v>425</v>
      </c>
      <c r="P32" s="151">
        <v>2011</v>
      </c>
      <c r="Q32" s="151" t="s">
        <v>595</v>
      </c>
      <c r="R32" s="151" t="s">
        <v>596</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M_00.0002.000002</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584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587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588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589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M_00.0002.000002</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M_00.0002.000002</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M_00.0002.000002</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5"/>
  <sheetViews>
    <sheetView view="pageBreakPreview" zoomScale="55" zoomScaleSheetLayoutView="55" workbookViewId="0">
      <selection activeCell="A4" sqref="A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448</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M_00.0002.000002</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444</v>
      </c>
      <c r="D22" s="432"/>
      <c r="E22" s="433" t="s">
        <v>452</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ht="31.5" x14ac:dyDescent="0.25">
      <c r="A25" s="252">
        <v>1</v>
      </c>
      <c r="B25" s="254" t="s">
        <v>453</v>
      </c>
      <c r="C25" s="255">
        <v>43466</v>
      </c>
      <c r="D25" s="255">
        <v>45926</v>
      </c>
      <c r="E25" s="255">
        <v>42538</v>
      </c>
      <c r="F25" s="255">
        <v>45463</v>
      </c>
      <c r="G25" s="256">
        <v>1</v>
      </c>
      <c r="H25" s="256">
        <v>1</v>
      </c>
      <c r="I25" s="252" t="s">
        <v>624</v>
      </c>
      <c r="J25" s="252" t="s">
        <v>425</v>
      </c>
      <c r="L25" s="290"/>
    </row>
    <row r="26" spans="1:12" x14ac:dyDescent="0.25">
      <c r="A26" s="257" t="s">
        <v>454</v>
      </c>
      <c r="B26" s="258" t="s">
        <v>455</v>
      </c>
      <c r="C26" s="255" t="s">
        <v>425</v>
      </c>
      <c r="D26" s="255" t="s">
        <v>425</v>
      </c>
      <c r="E26" s="255" t="s">
        <v>425</v>
      </c>
      <c r="F26" s="255" t="s">
        <v>425</v>
      </c>
      <c r="G26" s="260" t="s">
        <v>425</v>
      </c>
      <c r="H26" s="260" t="s">
        <v>425</v>
      </c>
      <c r="I26" s="257" t="s">
        <v>515</v>
      </c>
      <c r="J26" s="257" t="s">
        <v>425</v>
      </c>
    </row>
    <row r="27" spans="1:12" x14ac:dyDescent="0.25">
      <c r="A27" s="257" t="s">
        <v>456</v>
      </c>
      <c r="B27" s="258" t="s">
        <v>457</v>
      </c>
      <c r="C27" s="255" t="s">
        <v>425</v>
      </c>
      <c r="D27" s="255" t="s">
        <v>425</v>
      </c>
      <c r="E27" s="255" t="s">
        <v>425</v>
      </c>
      <c r="F27" s="255" t="s">
        <v>425</v>
      </c>
      <c r="G27" s="260" t="s">
        <v>425</v>
      </c>
      <c r="H27" s="260" t="s">
        <v>425</v>
      </c>
      <c r="I27" s="257" t="s">
        <v>515</v>
      </c>
      <c r="J27" s="257" t="s">
        <v>425</v>
      </c>
    </row>
    <row r="28" spans="1:12" ht="31.5" x14ac:dyDescent="0.25">
      <c r="A28" s="257" t="s">
        <v>458</v>
      </c>
      <c r="B28" s="258" t="s">
        <v>459</v>
      </c>
      <c r="C28" s="255" t="s">
        <v>425</v>
      </c>
      <c r="D28" s="255" t="s">
        <v>425</v>
      </c>
      <c r="E28" s="255" t="s">
        <v>425</v>
      </c>
      <c r="F28" s="255" t="s">
        <v>425</v>
      </c>
      <c r="G28" s="260" t="s">
        <v>425</v>
      </c>
      <c r="H28" s="260" t="s">
        <v>425</v>
      </c>
      <c r="I28" s="257" t="s">
        <v>515</v>
      </c>
      <c r="J28" s="257" t="s">
        <v>425</v>
      </c>
    </row>
    <row r="29" spans="1:12" x14ac:dyDescent="0.25">
      <c r="A29" s="257" t="s">
        <v>460</v>
      </c>
      <c r="B29" s="258" t="s">
        <v>461</v>
      </c>
      <c r="C29" s="255" t="s">
        <v>425</v>
      </c>
      <c r="D29" s="255" t="s">
        <v>425</v>
      </c>
      <c r="E29" s="255" t="s">
        <v>425</v>
      </c>
      <c r="F29" s="255" t="s">
        <v>425</v>
      </c>
      <c r="G29" s="260" t="s">
        <v>425</v>
      </c>
      <c r="H29" s="260" t="s">
        <v>425</v>
      </c>
      <c r="I29" s="257" t="s">
        <v>515</v>
      </c>
      <c r="J29" s="257" t="s">
        <v>425</v>
      </c>
    </row>
    <row r="30" spans="1:12" x14ac:dyDescent="0.25">
      <c r="A30" s="257" t="s">
        <v>462</v>
      </c>
      <c r="B30" s="258" t="s">
        <v>463</v>
      </c>
      <c r="C30" s="255" t="s">
        <v>425</v>
      </c>
      <c r="D30" s="255" t="s">
        <v>425</v>
      </c>
      <c r="E30" s="255" t="s">
        <v>425</v>
      </c>
      <c r="F30" s="255" t="s">
        <v>425</v>
      </c>
      <c r="G30" s="260" t="s">
        <v>425</v>
      </c>
      <c r="H30" s="260" t="s">
        <v>425</v>
      </c>
      <c r="I30" s="257" t="s">
        <v>515</v>
      </c>
      <c r="J30" s="257" t="s">
        <v>425</v>
      </c>
    </row>
    <row r="31" spans="1:12" x14ac:dyDescent="0.25">
      <c r="A31" s="257" t="s">
        <v>464</v>
      </c>
      <c r="B31" s="258" t="s">
        <v>465</v>
      </c>
      <c r="C31" s="255">
        <v>43466</v>
      </c>
      <c r="D31" s="255">
        <v>45716</v>
      </c>
      <c r="E31" s="255">
        <v>42538</v>
      </c>
      <c r="F31" s="255">
        <v>45463</v>
      </c>
      <c r="G31" s="260">
        <v>1</v>
      </c>
      <c r="H31" s="260">
        <v>1</v>
      </c>
      <c r="I31" s="257"/>
      <c r="J31" s="257" t="s">
        <v>425</v>
      </c>
    </row>
    <row r="32" spans="1:12" ht="47.25" x14ac:dyDescent="0.25">
      <c r="A32" s="257" t="s">
        <v>466</v>
      </c>
      <c r="B32" s="258" t="s">
        <v>467</v>
      </c>
      <c r="C32" s="255">
        <v>43644</v>
      </c>
      <c r="D32" s="255">
        <v>45866</v>
      </c>
      <c r="E32" s="255">
        <v>43824</v>
      </c>
      <c r="F32" s="255">
        <v>45645</v>
      </c>
      <c r="G32" s="260" t="s">
        <v>619</v>
      </c>
      <c r="H32" s="260" t="s">
        <v>619</v>
      </c>
      <c r="I32" s="257" t="s">
        <v>625</v>
      </c>
      <c r="J32" s="257" t="s">
        <v>425</v>
      </c>
    </row>
    <row r="33" spans="1:10" ht="31.5" x14ac:dyDescent="0.25">
      <c r="A33" s="257" t="s">
        <v>468</v>
      </c>
      <c r="B33" s="258" t="s">
        <v>469</v>
      </c>
      <c r="C33" s="255" t="s">
        <v>425</v>
      </c>
      <c r="D33" s="255" t="s">
        <v>425</v>
      </c>
      <c r="E33" s="255" t="s">
        <v>425</v>
      </c>
      <c r="F33" s="255" t="s">
        <v>425</v>
      </c>
      <c r="G33" s="260" t="s">
        <v>425</v>
      </c>
      <c r="H33" s="260" t="s">
        <v>425</v>
      </c>
      <c r="I33" s="257" t="s">
        <v>515</v>
      </c>
      <c r="J33" s="257" t="s">
        <v>425</v>
      </c>
    </row>
    <row r="34" spans="1:10" ht="31.5" x14ac:dyDescent="0.25">
      <c r="A34" s="257" t="s">
        <v>470</v>
      </c>
      <c r="B34" s="258" t="s">
        <v>471</v>
      </c>
      <c r="C34" s="255" t="s">
        <v>425</v>
      </c>
      <c r="D34" s="255" t="s">
        <v>425</v>
      </c>
      <c r="E34" s="255" t="s">
        <v>425</v>
      </c>
      <c r="F34" s="255" t="s">
        <v>425</v>
      </c>
      <c r="G34" s="260" t="s">
        <v>425</v>
      </c>
      <c r="H34" s="260" t="s">
        <v>425</v>
      </c>
      <c r="I34" s="257" t="s">
        <v>515</v>
      </c>
      <c r="J34" s="257" t="s">
        <v>425</v>
      </c>
    </row>
    <row r="35" spans="1:10" x14ac:dyDescent="0.25">
      <c r="A35" s="257" t="s">
        <v>472</v>
      </c>
      <c r="B35" s="258" t="s">
        <v>473</v>
      </c>
      <c r="C35" s="255">
        <v>44867</v>
      </c>
      <c r="D35" s="255">
        <v>45926</v>
      </c>
      <c r="E35" s="255">
        <v>44867</v>
      </c>
      <c r="F35" s="255">
        <v>45654</v>
      </c>
      <c r="G35" s="260" t="s">
        <v>619</v>
      </c>
      <c r="H35" s="260" t="s">
        <v>619</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t="s">
        <v>515</v>
      </c>
      <c r="J36" s="257" t="s">
        <v>425</v>
      </c>
    </row>
    <row r="37" spans="1:10" ht="63.75" customHeight="1" x14ac:dyDescent="0.25">
      <c r="A37" s="257" t="s">
        <v>476</v>
      </c>
      <c r="B37" s="258" t="s">
        <v>477</v>
      </c>
      <c r="C37" s="255">
        <v>43644</v>
      </c>
      <c r="D37" s="255">
        <v>45866</v>
      </c>
      <c r="E37" s="255">
        <v>43824</v>
      </c>
      <c r="F37" s="255">
        <v>45645</v>
      </c>
      <c r="G37" s="260" t="s">
        <v>619</v>
      </c>
      <c r="H37" s="260" t="s">
        <v>619</v>
      </c>
      <c r="I37" s="257" t="s">
        <v>625</v>
      </c>
      <c r="J37" s="257" t="s">
        <v>425</v>
      </c>
    </row>
    <row r="38" spans="1:10" ht="31.5" x14ac:dyDescent="0.25">
      <c r="A38" s="252">
        <v>2</v>
      </c>
      <c r="B38" s="254" t="s">
        <v>503</v>
      </c>
      <c r="C38" s="255" t="s">
        <v>425</v>
      </c>
      <c r="D38" s="255" t="s">
        <v>425</v>
      </c>
      <c r="E38" s="255">
        <v>42538</v>
      </c>
      <c r="F38" s="255" t="s">
        <v>425</v>
      </c>
      <c r="G38" s="261">
        <v>0.7</v>
      </c>
      <c r="H38" s="261">
        <v>0.55000000000000004</v>
      </c>
      <c r="I38" s="252" t="s">
        <v>624</v>
      </c>
      <c r="J38" s="252" t="s">
        <v>425</v>
      </c>
    </row>
    <row r="39" spans="1:10" ht="31.5" x14ac:dyDescent="0.25">
      <c r="A39" s="262" t="s">
        <v>478</v>
      </c>
      <c r="B39" s="258" t="s">
        <v>479</v>
      </c>
      <c r="C39" s="255">
        <v>43466</v>
      </c>
      <c r="D39" s="255">
        <v>46083</v>
      </c>
      <c r="E39" s="255">
        <v>42538</v>
      </c>
      <c r="F39" s="255" t="s">
        <v>425</v>
      </c>
      <c r="G39" s="263" t="s">
        <v>623</v>
      </c>
      <c r="H39" s="263" t="s">
        <v>619</v>
      </c>
      <c r="I39" s="257">
        <v>0</v>
      </c>
      <c r="J39" s="257" t="s">
        <v>425</v>
      </c>
    </row>
    <row r="40" spans="1:10" x14ac:dyDescent="0.25">
      <c r="A40" s="262" t="s">
        <v>480</v>
      </c>
      <c r="B40" s="258" t="s">
        <v>481</v>
      </c>
      <c r="C40" s="255" t="s">
        <v>425</v>
      </c>
      <c r="D40" s="255" t="s">
        <v>425</v>
      </c>
      <c r="E40" s="255" t="s">
        <v>425</v>
      </c>
      <c r="F40" s="255" t="s">
        <v>425</v>
      </c>
      <c r="G40" s="263" t="s">
        <v>617</v>
      </c>
      <c r="H40" s="263" t="s">
        <v>620</v>
      </c>
      <c r="I40" s="257" t="s">
        <v>515</v>
      </c>
      <c r="J40" s="257" t="s">
        <v>425</v>
      </c>
    </row>
    <row r="41" spans="1:10" ht="31.5" x14ac:dyDescent="0.25">
      <c r="A41" s="252">
        <v>3</v>
      </c>
      <c r="B41" s="254" t="s">
        <v>482</v>
      </c>
      <c r="C41" s="255">
        <v>43633</v>
      </c>
      <c r="D41" s="255">
        <v>46353</v>
      </c>
      <c r="E41" s="255">
        <v>42538</v>
      </c>
      <c r="F41" s="255" t="s">
        <v>425</v>
      </c>
      <c r="G41" s="261">
        <v>0.67499999999999993</v>
      </c>
      <c r="H41" s="261">
        <v>1</v>
      </c>
      <c r="I41" s="252" t="s">
        <v>624</v>
      </c>
      <c r="J41" s="252" t="s">
        <v>425</v>
      </c>
    </row>
    <row r="42" spans="1:10" x14ac:dyDescent="0.25">
      <c r="A42" s="257" t="s">
        <v>483</v>
      </c>
      <c r="B42" s="258" t="s">
        <v>484</v>
      </c>
      <c r="C42" s="255">
        <v>43647</v>
      </c>
      <c r="D42" s="255">
        <v>45778</v>
      </c>
      <c r="E42" s="255">
        <v>42538</v>
      </c>
      <c r="F42" s="255" t="s">
        <v>425</v>
      </c>
      <c r="G42" s="263" t="s">
        <v>623</v>
      </c>
      <c r="H42" s="263" t="s">
        <v>619</v>
      </c>
      <c r="I42" s="257">
        <v>0</v>
      </c>
      <c r="J42" s="257" t="s">
        <v>425</v>
      </c>
    </row>
    <row r="43" spans="1:10" x14ac:dyDescent="0.25">
      <c r="A43" s="257" t="s">
        <v>485</v>
      </c>
      <c r="B43" s="258" t="s">
        <v>486</v>
      </c>
      <c r="C43" s="255">
        <v>43633</v>
      </c>
      <c r="D43" s="255">
        <v>46263</v>
      </c>
      <c r="E43" s="255">
        <v>42538</v>
      </c>
      <c r="F43" s="255" t="s">
        <v>425</v>
      </c>
      <c r="G43" s="263" t="s">
        <v>617</v>
      </c>
      <c r="H43" s="263" t="s">
        <v>619</v>
      </c>
      <c r="I43" s="257">
        <v>0</v>
      </c>
      <c r="J43" s="257" t="s">
        <v>425</v>
      </c>
    </row>
    <row r="44" spans="1:10" x14ac:dyDescent="0.25">
      <c r="A44" s="257" t="s">
        <v>487</v>
      </c>
      <c r="B44" s="258" t="s">
        <v>488</v>
      </c>
      <c r="C44" s="255">
        <v>43693</v>
      </c>
      <c r="D44" s="255">
        <v>46323</v>
      </c>
      <c r="E44" s="255">
        <v>43693</v>
      </c>
      <c r="F44" s="255" t="s">
        <v>425</v>
      </c>
      <c r="G44" s="263" t="s">
        <v>618</v>
      </c>
      <c r="H44" s="263" t="s">
        <v>619</v>
      </c>
      <c r="I44" s="257">
        <v>0</v>
      </c>
      <c r="J44" s="257" t="s">
        <v>425</v>
      </c>
    </row>
    <row r="45" spans="1:10" ht="31.5" x14ac:dyDescent="0.25">
      <c r="A45" s="257" t="s">
        <v>489</v>
      </c>
      <c r="B45" s="258" t="s">
        <v>490</v>
      </c>
      <c r="C45" s="255" t="s">
        <v>425</v>
      </c>
      <c r="D45" s="255" t="s">
        <v>425</v>
      </c>
      <c r="E45" s="255" t="s">
        <v>425</v>
      </c>
      <c r="F45" s="255" t="s">
        <v>425</v>
      </c>
      <c r="G45" s="263" t="s">
        <v>425</v>
      </c>
      <c r="H45" s="263" t="s">
        <v>425</v>
      </c>
      <c r="I45" s="257" t="s">
        <v>515</v>
      </c>
      <c r="J45" s="257" t="s">
        <v>425</v>
      </c>
    </row>
    <row r="46" spans="1:10" ht="63" x14ac:dyDescent="0.25">
      <c r="A46" s="257" t="s">
        <v>491</v>
      </c>
      <c r="B46" s="258" t="s">
        <v>492</v>
      </c>
      <c r="C46" s="255" t="s">
        <v>425</v>
      </c>
      <c r="D46" s="255" t="s">
        <v>425</v>
      </c>
      <c r="E46" s="255" t="s">
        <v>425</v>
      </c>
      <c r="F46" s="255" t="s">
        <v>425</v>
      </c>
      <c r="G46" s="263" t="s">
        <v>425</v>
      </c>
      <c r="H46" s="263" t="s">
        <v>425</v>
      </c>
      <c r="I46" s="257" t="s">
        <v>515</v>
      </c>
      <c r="J46" s="257" t="s">
        <v>425</v>
      </c>
    </row>
    <row r="47" spans="1:10" x14ac:dyDescent="0.25">
      <c r="A47" s="257" t="s">
        <v>493</v>
      </c>
      <c r="B47" s="258" t="s">
        <v>494</v>
      </c>
      <c r="C47" s="255">
        <v>43753</v>
      </c>
      <c r="D47" s="255">
        <v>46353</v>
      </c>
      <c r="E47" s="255">
        <v>43753</v>
      </c>
      <c r="F47" s="255" t="s">
        <v>425</v>
      </c>
      <c r="G47" s="263" t="s">
        <v>618</v>
      </c>
      <c r="H47" s="263" t="s">
        <v>619</v>
      </c>
      <c r="I47" s="257">
        <v>0</v>
      </c>
      <c r="J47" s="257" t="s">
        <v>425</v>
      </c>
    </row>
    <row r="48" spans="1:10" ht="31.5" x14ac:dyDescent="0.25">
      <c r="A48" s="252">
        <v>4</v>
      </c>
      <c r="B48" s="254" t="s">
        <v>495</v>
      </c>
      <c r="C48" s="255">
        <v>43784</v>
      </c>
      <c r="D48" s="255">
        <v>46386</v>
      </c>
      <c r="E48" s="255">
        <v>43753</v>
      </c>
      <c r="F48" s="255" t="s">
        <v>425</v>
      </c>
      <c r="G48" s="261">
        <v>0.65</v>
      </c>
      <c r="H48" s="261">
        <v>1</v>
      </c>
      <c r="I48" s="252" t="s">
        <v>624</v>
      </c>
      <c r="J48" s="252" t="s">
        <v>425</v>
      </c>
    </row>
    <row r="49" spans="1:10" x14ac:dyDescent="0.25">
      <c r="A49" s="257" t="s">
        <v>496</v>
      </c>
      <c r="B49" s="258" t="s">
        <v>497</v>
      </c>
      <c r="C49" s="255">
        <v>43784</v>
      </c>
      <c r="D49" s="255">
        <v>46357</v>
      </c>
      <c r="E49" s="255">
        <v>43753</v>
      </c>
      <c r="F49" s="255" t="s">
        <v>425</v>
      </c>
      <c r="G49" s="263" t="s">
        <v>618</v>
      </c>
      <c r="H49" s="263" t="s">
        <v>619</v>
      </c>
      <c r="I49" s="257">
        <v>0</v>
      </c>
      <c r="J49" s="257" t="s">
        <v>425</v>
      </c>
    </row>
    <row r="50" spans="1:10" ht="47.25" x14ac:dyDescent="0.25">
      <c r="A50" s="257" t="s">
        <v>498</v>
      </c>
      <c r="B50" s="258" t="s">
        <v>499</v>
      </c>
      <c r="C50" s="255" t="s">
        <v>425</v>
      </c>
      <c r="D50" s="255" t="s">
        <v>425</v>
      </c>
      <c r="E50" s="255" t="s">
        <v>425</v>
      </c>
      <c r="F50" s="255" t="s">
        <v>425</v>
      </c>
      <c r="G50" s="263" t="s">
        <v>425</v>
      </c>
      <c r="H50" s="263" t="s">
        <v>425</v>
      </c>
      <c r="I50" s="257" t="s">
        <v>515</v>
      </c>
      <c r="J50" s="257" t="s">
        <v>425</v>
      </c>
    </row>
    <row r="51" spans="1:10" ht="31.5" x14ac:dyDescent="0.25">
      <c r="A51" s="257" t="s">
        <v>500</v>
      </c>
      <c r="B51" s="258" t="s">
        <v>501</v>
      </c>
      <c r="C51" s="255" t="s">
        <v>425</v>
      </c>
      <c r="D51" s="255" t="s">
        <v>425</v>
      </c>
      <c r="E51" s="255" t="s">
        <v>425</v>
      </c>
      <c r="F51" s="255" t="s">
        <v>425</v>
      </c>
      <c r="G51" s="263" t="s">
        <v>425</v>
      </c>
      <c r="H51" s="263" t="s">
        <v>425</v>
      </c>
      <c r="I51" s="257" t="s">
        <v>515</v>
      </c>
      <c r="J51" s="257" t="s">
        <v>425</v>
      </c>
    </row>
    <row r="52" spans="1:10" ht="31.5" x14ac:dyDescent="0.25">
      <c r="A52" s="259" t="s">
        <v>502</v>
      </c>
      <c r="B52" s="258" t="s">
        <v>503</v>
      </c>
      <c r="C52" s="255" t="s">
        <v>425</v>
      </c>
      <c r="D52" s="255" t="s">
        <v>425</v>
      </c>
      <c r="E52" s="255" t="s">
        <v>425</v>
      </c>
      <c r="F52" s="255" t="s">
        <v>425</v>
      </c>
      <c r="G52" s="263" t="s">
        <v>425</v>
      </c>
      <c r="H52" s="263" t="s">
        <v>425</v>
      </c>
      <c r="I52" s="257" t="s">
        <v>515</v>
      </c>
      <c r="J52" s="257" t="s">
        <v>425</v>
      </c>
    </row>
    <row r="53" spans="1:10" x14ac:dyDescent="0.25">
      <c r="A53" s="257" t="s">
        <v>504</v>
      </c>
      <c r="B53" s="264" t="s">
        <v>505</v>
      </c>
      <c r="C53" s="255">
        <v>43787</v>
      </c>
      <c r="D53" s="255">
        <v>46386</v>
      </c>
      <c r="E53" s="255">
        <v>43787</v>
      </c>
      <c r="F53" s="255" t="s">
        <v>425</v>
      </c>
      <c r="G53" s="263" t="s">
        <v>618</v>
      </c>
      <c r="H53" s="263" t="s">
        <v>619</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t="s">
        <v>515</v>
      </c>
      <c r="J54" s="257" t="s">
        <v>425</v>
      </c>
    </row>
    <row r="55" spans="1:10" x14ac:dyDescent="0.25">
      <c r="H55" s="24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2025-02-13T06:58:54Z</dcterms:modified>
</cp:coreProperties>
</file>