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B4F88207-C802-42E9-9E4C-62D39BA7ACD4}"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78" i="5"/>
  <c r="AE71" i="5"/>
  <c r="AE70" i="5"/>
  <c r="AE37" i="5"/>
  <c r="AE51" i="5"/>
  <c r="AE74" i="5"/>
  <c r="AE84" i="5"/>
  <c r="AE46" i="5"/>
  <c r="AE38" i="5"/>
  <c r="AE44" i="5"/>
  <c r="AE36" i="5"/>
  <c r="AE41" i="5"/>
  <c r="AE29"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<sst xmlns="http://schemas.openxmlformats.org/spreadsheetml/2006/main" count="4353" uniqueCount="608">
  <si>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</si>
  <si>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</si>
  <si>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</si>
  <si>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</si>
  <si>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</si>
  <si>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</si>
  <si>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</si>
  <si>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</si>
  <si>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</si>
  <si>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</si>
  <si>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</si>
  <si>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</si>
  <si>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</si>
  <si>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</si>
  <si>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</si>
  <si>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</si>
  <si>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</si>
  <si>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</si>
  <si>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</si>
  <si>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</si>
  <si>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</si>
  <si>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</si>
  <si>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</si>
  <si>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</si>
  <si>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</si>
  <si>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</si>
  <si>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</si>
  <si>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</si>
  <si>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</si>
  <si>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</si>
  <si>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</si>
  <si>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</si>
  <si>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</si>
  <si>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</si>
  <si>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</si>
  <si>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</si>
  <si>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</si>
  <si>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</si>
  <si>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</si>
  <si>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</si>
  <si>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</si>
  <si>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</si>
  <si>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</si>
  <si>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</si>
  <si>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</si>
  <si>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</si>
  <si>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</si>
  <si>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</si>
  <si>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</si>
  <si>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</si>
  <si>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</si>
  <si>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</si>
  <si>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</si>
  <si>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</si>
  <si>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</si>
  <si>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</si>
  <si>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</si>
  <si>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</si>
  <si>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</si>
  <si>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</si>
  <si>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</si>
  <si>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</si>
  <si>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</si>
  <si>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</si>
  <si>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</si>
  <si>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</si>
  <si>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</si>
  <si>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</si>
  <si>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</si>
  <si>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</si>
  <si>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</si>
  <si>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</si>
  <si>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</si>
  <si>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</si>
  <si>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</si>
  <si>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</si>
  <si>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</si>
  <si>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</si>
  <si>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</si>
  <si>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</si>
  <si>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</si>
  <si>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</si>
  <si>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</si>
  <si>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</si>
  <si>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</si>
  <si>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</si>
  <si>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</si>
  <si>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</si>
  <si>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</si>
  <si>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</si>
  <si>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</si>
  <si>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</si>
  <si>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</si>
  <si>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</si>
  <si>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</si>
  <si>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</si>
  <si>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</si>
  <si>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</si>
  <si>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</si>
  <si>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</si>
  <si>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</si>
  <si>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</si>
  <si>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</si>
  <si>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</si>
  <si>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</si>
  <si>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</si>
  <si>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</si>
  <si>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</si>
  <si>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</si>
  <si>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</si>
  <si>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</si>
  <si>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</si>
  <si>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</si>
  <si>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</si>
  <si>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</si>
  <si>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</si>
  <si>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</si>
  <si>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</si>
  <si>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</si>
  <si>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</si>
  <si>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</si>
  <si>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</si>
  <si>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</si>
  <si>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</si>
  <si>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</si>
  <si>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</si>
  <si>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</si>
  <si>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</si>
  <si>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</si>
  <si>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</si>
  <si>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</si>
  <si>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</si>
  <si>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</si>
  <si>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</si>
  <si>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</si>
  <si>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</si>
  <si>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</si>
  <si>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</si>
  <si>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</si>
  <si>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</si>
  <si>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</si>
  <si>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</si>
  <si>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</si>
  <si>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</si>
  <si>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</si>
  <si>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</si>
  <si>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</si>
  <si>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</si>
  <si>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</si>
  <si>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</si>
  <si>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</si>
  <si>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</si>
  <si>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</si>
  <si>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</si>
  <si>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</si>
  <si>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</si>
  <si>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</si>
  <si>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</si>
  <si>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</si>
  <si>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</si>
  <si>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</si>
  <si>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</si>
  <si>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</si>
  <si>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</si>
  <si>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</si>
  <si>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</si>
  <si>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</si>
  <si>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</si>
  <si>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</si>
  <si>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</si>
  <si>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</si>
  <si>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</si>
  <si>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</si>
  <si>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</si>
  <si>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</si>
  <si>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</si>
  <si>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</si>
  <si>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</si>
  <si>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</si>
  <si>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</si>
  <si>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</si>
  <si>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</si>
  <si>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</si>
  <si>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</si>
  <si>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</si>
  <si>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</si>
  <si>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</si>
  <si>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</si>
  <si>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</si>
  <si>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</si>
  <si>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</si>
  <si>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</si>
  <si>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</si>
  <si>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</si>
  <si>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</si>
  <si>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</si>
  <si>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</si>
  <si>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</si>
  <si>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</si>
  <si>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</si>
  <si>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</si>
  <si>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</si>
  <si>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</si>
  <si>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</si>
  <si>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</si>
  <si>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</si>
  <si>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</si>
  <si>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</si>
  <si>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</si>
  <si>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</si>
  <si>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</si>
  <si>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</si>
  <si>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</si>
  <si>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</si>
  <si>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</si>
  <si>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</si>
  <si>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</si>
  <si>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</si>
  <si>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</si>
  <si>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</si>
  <si>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</si>
  <si>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</si>
  <si>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</si>
  <si>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</si>
  <si>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</si>
  <si>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</si>
  <si>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</si>
  <si>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</si>
  <si>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</si>
  <si>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</si>
  <si>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</si>
  <si>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</si>
  <si>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</si>
  <si>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</si>
  <si>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</si>
  <si>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</si>
  <si>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</si>
  <si>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</si>
  <si>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</si>
  <si>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</si>
  <si>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</si>
  <si>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</si>
  <si>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</si>
  <si>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</si>
  <si>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</si>
  <si>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</si>
  <si>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</si>
  <si>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</si>
  <si>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</si>
  <si>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</si>
  <si>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</si>
  <si>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</si>
  <si>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</si>
  <si>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</si>
  <si>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</si>
  <si>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</si>
  <si>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</si>
  <si>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</si>
  <si>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</si>
  <si>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</si>
  <si>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</si>
  <si>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</si>
  <si>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</si>
  <si>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</si>
  <si>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</si>
  <si>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</si>
  <si>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</si>
  <si>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</si>
  <si>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</si>
  <si>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</si>
  <si>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</si>
  <si>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</si>
  <si>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</si>
  <si>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</si>
  <si>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</si>
  <si>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</si>
  <si>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</si>
  <si>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</si>
  <si>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</si>
  <si>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</si>
  <si>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</si>
  <si>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</si>
  <si>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</si>
  <si>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</si>
  <si>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</si>
  <si>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</si>
  <si>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</si>
  <si>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</si>
  <si>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</si>
  <si>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</si>
  <si>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</si>
  <si>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</si>
  <si>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</si>
  <si>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</si>
  <si>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</si>
  <si>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</si>
  <si>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</si>
  <si>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</si>
  <si>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</si>
  <si>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</si>
  <si>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</si>
  <si>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</si>
  <si>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</si>
  <si>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</si>
  <si>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</si>
  <si>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</si>
  <si>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</si>
  <si>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</si>
  <si>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</si>
  <si>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</si>
  <si>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</si>
  <si>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</si>
  <si>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</si>
  <si>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</si>
  <si>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</si>
  <si>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</si>
  <si>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</si>
  <si>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</si>
  <si>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</si>
  <si>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</si>
  <si>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</si>
  <si>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</si>
  <si>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</si>
  <si>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</si>
  <si>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</si>
  <si>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</si>
  <si>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</si>
  <si>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</si>
  <si>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</si>
  <si>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</si>
  <si>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</si>
  <si>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</si>
  <si>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</si>
  <si>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</si>
  <si>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</si>
  <si>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</si>
  <si>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</si>
  <si>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</si>
  <si>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</si>
  <si>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</si>
  <si>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</si>
  <si>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</si>
  <si>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</si>
  <si>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</si>
  <si>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</si>
  <si>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</si>
  <si>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</si>
  <si>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</si>
  <si>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</si>
  <si>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</si>
  <si>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</si>
  <si>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</si>
  <si>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</si>
  <si>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</si>
  <si>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</si>
  <si>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</si>
  <si>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</si>
  <si>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</si>
  <si>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</si>
  <si>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</si>
  <si>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</si>
  <si>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</si>
  <si>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</si>
  <si>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</si>
  <si>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</si>
  <si>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</si>
  <si>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</si>
  <si>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</si>
  <si>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</si>
  <si>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</si>
  <si>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</si>
  <si>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</si>
  <si>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</si>
  <si>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</si>
  <si>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</si>
  <si>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</si>
  <si>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</si>
  <si>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</si>
  <si>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</si>
  <si>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</si>
  <si>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</si>
  <si>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</si>
  <si>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</si>
  <si>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</si>
  <si>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</si>
  <si>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</si>
  <si>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</si>
  <si>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</si>
  <si>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</si>
  <si>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</si>
  <si>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</si>
  <si>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</si>
  <si>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</si>
  <si>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</si>
  <si>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</si>
  <si>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</si>
  <si>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</si>
  <si>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</si>
  <si>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</si>
  <si>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</si>
  <si>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</si>
  <si>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</si>
  <si>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</si>
  <si>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</si>
  <si>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</si>
  <si>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</si>
  <si>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</si>
  <si>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</si>
  <si>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</si>
  <si>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</si>
  <si>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</si>
  <si>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</si>
  <si>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</si>
  <si>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</si>
  <si>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</si>
  <si>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</si>
  <si>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</si>
  <si>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</si>
  <si>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</si>
  <si>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</si>
  <si>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</si>
  <si>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</si>
  <si>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</si>
  <si>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</si>
  <si>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</si>
  <si>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</si>
  <si>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</si>
  <si>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</si>
  <si>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</si>
  <si>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</si>
  <si>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</si>
  <si>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</si>
  <si>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</si>
  <si>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</si>
  <si>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</si>
  <si>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</si>
  <si>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</si>
  <si>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</si>
  <si>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</si>
  <si>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</si>
  <si>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</si>
  <si>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</si>
  <si>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</si>
  <si>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</si>
  <si>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</si>
  <si>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</si>
  <si>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</si>
  <si>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M_00.0004.000004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</si>
  <si>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</si>
  <si>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</si>
  <si>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</si>
  <si>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</si>
  <si>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</si>
  <si>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</si>
  <si>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</si>
  <si>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</si>
  <si>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</si>
  <si>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</si>
  <si>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</si>
  <si>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</si>
  <si>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</si>
  <si>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</si>
  <si>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</si>
  <si>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</si>
  <si>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</si>
  <si>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</si>
  <si>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</si>
  <si>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</si>
  <si>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</si>
  <si>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</si>
  <si>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</si>
  <si>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</si>
  <si>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</si>
  <si>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</si>
  <si>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</si>
  <si>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</si>
  <si>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</si>
  <si>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</si>
  <si>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</si>
  <si>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</si>
  <si>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</si>
  <si>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</si>
  <si>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</si>
  <si>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</si>
  <si>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</si>
  <si>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</si>
  <si>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</si>
  <si>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</si>
  <si>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</si>
  <si>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</si>
  <si>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</si>
  <si>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</si>
  <si>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</si>
  <si>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</si>
  <si>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</si>
  <si>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</si>
  <si>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</si>
  <si>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</si>
  <si>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</si>
  <si>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</si>
  <si>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</si>
  <si>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</si>
  <si>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</si>
  <si>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</si>
  <si>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</si>
  <si>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</si>
  <si>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</si>
  <si>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</si>
  <si>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экономией, полученной по результатам закупочной процедуры на ЭТП, а также частичным смещением срока выполнения работ (замены ЩСН) по причине корректировки технических решений и как следствие смещения срока поставки приобретаемого оборудования</t>
  </si>
  <si>
    <t>СМР, ПНР</t>
  </si>
  <si>
    <t>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</si>
  <si>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</si>
  <si>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</si>
  <si>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</si>
  <si>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"ВЕЛЛЭНЕРДЖИ"</t>
  </si>
  <si>
    <t>94 402;
94 402</t>
  </si>
  <si>
    <t>-</t>
  </si>
  <si>
    <t>87 155,00;
79 000,00</t>
  </si>
  <si>
    <t>ОБЩЕСТВО С ОГРАНИЧЕННОЙ ОТВЕТСТВЕННОСТЬЮ "ВЕЛЛЭНЕРДЖИ"</t>
  </si>
  <si>
    <t>да</t>
  </si>
  <si>
    <t>https://com.roseltorg.ru/</t>
  </si>
  <si>
    <t>ИП</t>
  </si>
  <si>
    <t>СМР</t>
  </si>
  <si>
    <t>ИП-23-00028 от 27.02.2023</t>
  </si>
  <si>
    <t>ПИР</t>
  </si>
  <si>
    <t>Проектно-изыскательские работы по реконструкции ПС 220 кВ Южная в части замены ОД, КЗ 220 кВ, установки ячеек выключателей 220 кВ (3 шт.), замены ТСН</t>
  </si>
  <si>
    <t>Запрос предложений в электронной форме</t>
  </si>
  <si>
    <t>ООО "СИСТЕМНЫЙ ИНТЕГРАТОР"; АО "РЭМиС"; ООО "ЭНЕРГОПРОЕКТСПЕЦМОНТАЖ"; ООО "ИНСТИТУТ ПРОЕКТИРОВАНИЯ ЭНЕРГЕТИЧЕСКИХ СИСТЕМ"; ООО "ЕНИСЕЙ ИНЖИНИРИНГ"; ООО "ИНЖЕНЕРНАЯ КОМПАНИЯ СИБИРИ"; ООО "СОЮЗЭНЕРГОПРОЕКТ"; ООО "Проектный Центр Сибири"</t>
  </si>
  <si>
    <t>7 000,00; 7 841,00; 6 300,00; 7 786,20; 7 841,00; 5 371,09; 7 841,00; 7 790,00</t>
  </si>
  <si>
    <t>ООО "СИСТЕМНЫЙ ИНТЕГРАТОР"; ООО "ЭНЕРГОПРОЕКТСПЕЦМОНТАЖ"; ООО "СОЮЗЭНЕРГОПРОЕКТ"</t>
  </si>
  <si>
    <t>5 100,00; 5 881,00; 5 416,67; 4 970,00; 5 600,00</t>
  </si>
  <si>
    <t>ООО "ИНЖЕНЕРНАЯ КОМПАНИЯ СИБИРИ"</t>
  </si>
  <si>
    <t>https://www.roseltorg.ru/</t>
  </si>
  <si>
    <t>ООО "Инженерная компания Сибири"</t>
  </si>
  <si>
    <t>ИП-19-00144 от 19.06.2019</t>
  </si>
  <si>
    <t>ТМЦ</t>
  </si>
  <si>
    <t>Поставка выключателей баковых элегазовых 220 кВ</t>
  </si>
  <si>
    <t>Конкурентные переговоры в электронной форме</t>
  </si>
  <si>
    <t>ОБЩЕСТВО С ОГРАНИЧЕННОЙ ОТВЕТСТВЕННОСТЬЮ "ПМК ХОЛДИНГ"; ОБЩЕСТВО С ОГРАНИЧЕННОЙ ОТВЕТСТВЕННОСТЬЮ "АБВ ЭНЕРГО"; ОБЩЕСТВО С ОГРАНИЧЕННОЙ ОТВЕТСТВЕННОСТЬЮ "ОСТЕРОН"</t>
  </si>
  <si>
    <t>45000,00; 44 970,00; 44 940,00</t>
  </si>
  <si>
    <t>45 000,00; 44 610,00; 44 370,00</t>
  </si>
  <si>
    <t>ОБЩЕСТВО С ОГРАНИЧЕННОЙ ОТВЕТСТВЕННОСТЬЮ "ОСТЕРОН"</t>
  </si>
  <si>
    <t>ПД</t>
  </si>
  <si>
    <t>ООО "Остерон"</t>
  </si>
  <si>
    <t>ПД-19-00393 от 18.12.2019</t>
  </si>
  <si>
    <t>Поставка трансформаторов ТМГ</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</si>
  <si>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</si>
  <si>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"ЭНЕРГОКАПИТАЛ"; ОБЩЕСТВО С ОГРАНИЧЕННОЙ ОТВЕТСТВЕННОСТЬЮ "ЭНЕРГИЯ СЕВЕР"; АКЦИОНЕРНОЕ ОБЩЕСТВО "ТОРГОВЫЙ ДОМ "УЗЭЛЕКТРОТЕХКОМПЛЕКТ"</t>
  </si>
  <si>
    <t>592,000; 885,000; 1267,50</t>
  </si>
  <si>
    <t>592,00; 885,00; 1267,50</t>
  </si>
  <si>
    <t>АКЦИОНЕРНОЕ ОБЩЕСТВО "ТОРГОВЫЙ ДОМ "УЗЭЛЕКТРОТЕХКОМПЛЕКТ"</t>
  </si>
  <si>
    <t>Акционерное общество "Торговый дом "Узэлектротехкомплект"</t>
  </si>
  <si>
    <t>ПД-20-00223 от 15.10.2020</t>
  </si>
  <si>
    <t>Поставка трансформаторов 220 кВ</t>
  </si>
  <si>
    <t>ИНДИВИДУАЛЬНЫЙ ПРЕДПРИНИМАТЕЛЬ ГРИГОРЬЯНЦ АРТЕМ АЛЕКСАНДРОВИЧ; ОБЩЕСТВО С ОГРАНИЧЕННОЙ ОТВЕТСТВЕННОСТЬЮ "ОСТЕРОН"</t>
  </si>
  <si>
    <t>4560,00; 4800,00</t>
  </si>
  <si>
    <t>ИНДИВИДУАЛЬНЫЙ ПРЕДПРИНИМАТЕЛЬ ГРИГОРЬЯНЦ АРТЕМ АЛЕКСАНДРОВИЧ</t>
  </si>
  <si>
    <t>Индивидуальный предприниматель Григорьянц Артем Александрович</t>
  </si>
  <si>
    <t>ПД-20-00217 от 14.10.2020</t>
  </si>
  <si>
    <t>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t>
  </si>
  <si>
    <t>ОБЩЕСТВО С ОГРАНИЧЕННОЙ ОТВЕТСТВЕННОСТЬЮ "ПРОЕКТНЫЙ ЦЕНТР СИБИРИ"</t>
  </si>
  <si>
    <t>Договор расторгнут по соглашению Сторон</t>
  </si>
  <si>
    <t>ООО "ПРОЕКТНЫЙ ЦЕНТР СИБИРИ"</t>
  </si>
  <si>
    <t>ИП-22-00138 от 02.06.2022</t>
  </si>
  <si>
    <t>АКЦИОНЕРНОЕ ОБЩЕСТВО "РЕМОНТЭНЕРГОМОНТАЖ И СЕРВИС";
ОБЩЕСТВО С ОГРАНИЧЕННОЙ ОТВЕТСТВЕННОСТЬЮ "ПРОЕКТНЫЙ ЦЕНТР СИБИРИ"</t>
  </si>
  <si>
    <t>61209,78;
61209,78</t>
  </si>
  <si>
    <t>59750,00;
59985,5844</t>
  </si>
  <si>
    <t>АО "РЭМиС"</t>
  </si>
  <si>
    <t>ИП-22-00097 от 18.04.2022</t>
  </si>
  <si>
    <t>Поставка разъединителей</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</si>
  <si>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</si>
  <si>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"АБВ ЭНЕРГО"; АКЦИОНЕРНОЕ ОБЩЕСТВО "АВВ-ЭНЕРГО"; ОБЩЕСТВО С ОГРАНИЧЕННОЙ ОТВЕТСТВЕННОСТЬЮ "КУРС"; ОБЩЕСТВО С ОГРАНИЧЕННОЙ ОТВЕТСТВЕННОСТЬЮ "ТОРГОВЫЙ ДОМ "ПЕРМСНАБ"; ОБЩЕСТВО С ОГРАНИЧЕННОЙ ОТВЕТСТВЕННОСТЬЮ "ИНЖЕНЕРНЫЙ ЦЕНТР СИБИРИ"</t>
  </si>
  <si>
    <t>16 305,00; 16 305,00; 16 300,00; 16 272,00; 16 120,00</t>
  </si>
  <si>
    <t>- (наименования участников неизвестны)</t>
  </si>
  <si>
    <t>10 938,25; 10 907,60; 16 300,00; 9 360,00; 12 880,00</t>
  </si>
  <si>
    <t>ОБЩЕСТВО С ОГРАНИЧЕННОЙ ОТВЕТСТВЕННОСТЬЮ "ТОРГОВЫЙ ДОМ "ПЕРМСНАБ"</t>
  </si>
  <si>
    <t>ООО "ТД "Пермснаб"</t>
  </si>
  <si>
    <t>ПД-20-00272 от 25.11.2020</t>
  </si>
  <si>
    <t>1.2.1.1 Реконструкция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</si>
  <si>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</si>
  <si>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</si>
  <si>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769 от 02.11.2022; 
№ 769/1 от 11.09.2023</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</si>
  <si>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</si>
  <si>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</si>
  <si>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</si>
  <si>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</si>
  <si>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</si>
  <si>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</si>
  <si>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отделителей и короткозамыкателей на ПС позволит:
- уменьшить время ликвидации КЗ;
- не создавать искусственные короткие замыкания;
- селективно отключать только поврежденный трансформатор при работе защит;
- повысить безопасность обслуживающего персонала;
- снизить долю коммутационного оборудования со сверхнормативным сроком эксплуатации.
</t>
  </si>
  <si>
    <t>ПС 220 кВ Южная</t>
  </si>
  <si>
    <t>83338,24 тыс. руб. с НДС на 1 выключатель 220 кВ</t>
  </si>
  <si>
    <t>1-ый этап - замена ОД КЗ 1АТ, разъединителей, ТСН, панелей РЗА;
2-ой этап - замена ОД КЗ 2АТ, разъединителей, ТСН, панелей РЗА.</t>
  </si>
  <si>
    <t>1. Процент износа существующих коммутационных аппаратов достигает 100%.
2. Заключение акта технического освидетельствования № ПС-6/09-2020 от 31.07.2020.</t>
  </si>
  <si>
    <t>С</t>
  </si>
  <si>
    <t>Сибирский Федеральный округ, Новосибирская область, г. Искитим</t>
  </si>
  <si>
    <t>ОД/КЗ</t>
  </si>
  <si>
    <t>Элегазовый выключатель</t>
  </si>
  <si>
    <t>ОД/КЗ-220</t>
  </si>
  <si>
    <t>В-220</t>
  </si>
  <si>
    <t>1975</t>
  </si>
  <si>
    <t xml:space="preserve">Акт № ПС-6/09-2020 от 31.07.2020 технического освидетельствования ПС 220 кВ Южная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</si>
  <si>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</si>
  <si>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</si>
  <si>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КВЛ по состоянию на 01.10.2024, тыс. руб. без НДС (без ФОТ)</t>
  </si>
  <si>
    <t>ФИН по состоянию на 01.10.2024, тыс. руб. с НДС (без взаимозачетов)</t>
  </si>
  <si>
    <t>100%</t>
  </si>
  <si>
    <t>Ошибка планирования, нет плановой даты завершения задачи</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</si>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</sst>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607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585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M_00.0004.000004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175.26993092554</v>
      </c>
      <c r="D24" s="279">
        <f t="shared" si="0"/>
        <v>166.67647827294462</v>
      </c>
      <c r="E24" s="284">
        <f t="shared" si="0"/>
        <v>22.901410748873591</v>
      </c>
      <c r="F24" s="284">
        <f t="shared" si="0"/>
        <v>0</v>
      </c>
      <c r="G24" s="267">
        <f t="shared" si="0"/>
        <v>22.901410748873591</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147.20735014822154</v>
      </c>
      <c r="D27" s="279">
        <v>140.04246096678833</v>
      </c>
      <c r="E27" s="285">
        <f>J27+N27+G27+P27+T27+X27</f>
        <v>19.202845311516807</v>
      </c>
      <c r="F27" s="285">
        <f t="shared" si="8"/>
        <v>0</v>
      </c>
      <c r="G27" s="267">
        <v>19.202845311516807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602</v>
      </c>
      <c r="J28" s="280">
        <v>0</v>
      </c>
      <c r="K28" s="281" t="s">
        <v>602</v>
      </c>
      <c r="L28" s="266">
        <v>0</v>
      </c>
      <c r="M28" s="268" t="s">
        <v>602</v>
      </c>
      <c r="N28" s="280">
        <v>0</v>
      </c>
      <c r="O28" s="281" t="s">
        <v>602</v>
      </c>
      <c r="P28" s="154">
        <v>0</v>
      </c>
      <c r="Q28" s="154" t="s">
        <v>602</v>
      </c>
      <c r="R28" s="280">
        <v>0</v>
      </c>
      <c r="S28" s="281">
        <v>0</v>
      </c>
      <c r="T28" s="154">
        <v>0</v>
      </c>
      <c r="U28" s="154" t="s">
        <v>602</v>
      </c>
      <c r="V28" s="280">
        <v>0</v>
      </c>
      <c r="W28" s="281">
        <v>0</v>
      </c>
      <c r="X28" s="154">
        <v>0</v>
      </c>
      <c r="Y28" s="154" t="s">
        <v>602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602</v>
      </c>
      <c r="J29" s="280">
        <v>0</v>
      </c>
      <c r="K29" s="281" t="s">
        <v>602</v>
      </c>
      <c r="L29" s="266">
        <v>0</v>
      </c>
      <c r="M29" s="268" t="s">
        <v>602</v>
      </c>
      <c r="N29" s="280">
        <v>0</v>
      </c>
      <c r="O29" s="281" t="s">
        <v>602</v>
      </c>
      <c r="P29" s="154">
        <v>0</v>
      </c>
      <c r="Q29" s="288" t="s">
        <v>602</v>
      </c>
      <c r="R29" s="280">
        <v>0</v>
      </c>
      <c r="S29" s="281">
        <v>0</v>
      </c>
      <c r="T29" s="154">
        <v>0</v>
      </c>
      <c r="U29" s="154" t="s">
        <v>602</v>
      </c>
      <c r="V29" s="280">
        <v>0</v>
      </c>
      <c r="W29" s="281">
        <v>0</v>
      </c>
      <c r="X29" s="154">
        <v>0</v>
      </c>
      <c r="Y29" s="154" t="s">
        <v>602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602</v>
      </c>
      <c r="J30" s="280">
        <v>0</v>
      </c>
      <c r="K30" s="281" t="s">
        <v>602</v>
      </c>
      <c r="L30" s="266">
        <v>0</v>
      </c>
      <c r="M30" s="268" t="s">
        <v>602</v>
      </c>
      <c r="N30" s="280">
        <v>0</v>
      </c>
      <c r="O30" s="281" t="s">
        <v>602</v>
      </c>
      <c r="P30" s="154">
        <v>0</v>
      </c>
      <c r="Q30" s="154" t="s">
        <v>602</v>
      </c>
      <c r="R30" s="280">
        <v>0</v>
      </c>
      <c r="S30" s="281">
        <v>0</v>
      </c>
      <c r="T30" s="154">
        <v>0</v>
      </c>
      <c r="U30" s="154" t="s">
        <v>602</v>
      </c>
      <c r="V30" s="280">
        <v>0</v>
      </c>
      <c r="W30" s="281">
        <v>0</v>
      </c>
      <c r="X30" s="154">
        <v>0</v>
      </c>
      <c r="Y30" s="154" t="s">
        <v>602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602</v>
      </c>
      <c r="J31" s="280">
        <v>0</v>
      </c>
      <c r="K31" s="281" t="s">
        <v>602</v>
      </c>
      <c r="L31" s="266">
        <v>0</v>
      </c>
      <c r="M31" s="268" t="s">
        <v>602</v>
      </c>
      <c r="N31" s="280">
        <v>0</v>
      </c>
      <c r="O31" s="281" t="s">
        <v>602</v>
      </c>
      <c r="P31" s="154">
        <v>0</v>
      </c>
      <c r="Q31" s="154" t="s">
        <v>602</v>
      </c>
      <c r="R31" s="280">
        <v>0</v>
      </c>
      <c r="S31" s="281">
        <v>0</v>
      </c>
      <c r="T31" s="154">
        <v>0</v>
      </c>
      <c r="U31" s="154" t="s">
        <v>602</v>
      </c>
      <c r="V31" s="280">
        <v>0</v>
      </c>
      <c r="W31" s="281">
        <v>0</v>
      </c>
      <c r="X31" s="154">
        <v>0</v>
      </c>
      <c r="Y31" s="154" t="s">
        <v>602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28.062580777318448</v>
      </c>
      <c r="D33" s="280">
        <v>26.634017306156309</v>
      </c>
      <c r="E33" s="285">
        <f>J33+N33+G33+P33+T33+X33</f>
        <v>3.6985654373567849</v>
      </c>
      <c r="F33" s="285">
        <f t="shared" ref="F33" si="18">E33-G33</f>
        <v>0</v>
      </c>
      <c r="G33" s="266">
        <v>3.6985654373567849</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146.75744639254003</v>
      </c>
      <c r="D34" s="279">
        <f t="shared" ref="D34:G34" si="19">SUM(D35:D38)</f>
        <v>140.47808110577887</v>
      </c>
      <c r="E34" s="285">
        <f t="shared" ref="E34" si="20">J34+N34+G34+P34+T34+X34</f>
        <v>12.008554975778848</v>
      </c>
      <c r="F34" s="279">
        <f t="shared" si="19"/>
        <v>0</v>
      </c>
      <c r="G34" s="267">
        <f t="shared" si="19"/>
        <v>12.008554975778848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5.6928840150000006</v>
      </c>
      <c r="D35" s="280">
        <v>5.6721713600000001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47.338180739999999</v>
      </c>
      <c r="D36" s="280">
        <v>60.93120273876923</v>
      </c>
      <c r="E36" s="285">
        <f>J36+N36+G36+P36+T36+X36</f>
        <v>3.6080595587692237</v>
      </c>
      <c r="F36" s="285">
        <f t="shared" ref="F36:F37" si="30">E36-G36</f>
        <v>0</v>
      </c>
      <c r="G36" s="266">
        <v>3.6080595587692237</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85.443244295000014</v>
      </c>
      <c r="D37" s="280">
        <v>66.023445199986924</v>
      </c>
      <c r="E37" s="285">
        <f>J37+N37+G37+P37+T37+X37</f>
        <v>6.6103965999869096</v>
      </c>
      <c r="F37" s="285">
        <f t="shared" si="30"/>
        <v>0</v>
      </c>
      <c r="G37" s="266">
        <v>6.6103965999869096</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8.2831373425400017</v>
      </c>
      <c r="D38" s="280">
        <v>7.8512618070227154</v>
      </c>
      <c r="E38" s="285">
        <f>J38+N38+G38+P38+T38+X38</f>
        <v>1.7900988170227154</v>
      </c>
      <c r="F38" s="285">
        <f>E38-G38</f>
        <v>0</v>
      </c>
      <c r="G38" s="266">
        <v>1.7900988170227154</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22</v>
      </c>
      <c r="D46" s="280">
        <v>22</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22</v>
      </c>
      <c r="D54" s="280">
        <v>22</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146.75744639254</v>
      </c>
      <c r="D56" s="280">
        <v>140.47808110577887</v>
      </c>
      <c r="E56" s="285">
        <f t="shared" ref="E56:E61" si="36">J56+N56+G56+P56+T56+X56</f>
        <v>12.359640655778858</v>
      </c>
      <c r="F56" s="280">
        <f t="shared" si="33"/>
        <v>0</v>
      </c>
      <c r="G56" s="266">
        <v>12.359640655778858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22</v>
      </c>
      <c r="D61" s="280">
        <v>22</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M_00.0004.000004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603</v>
      </c>
      <c r="AY22" s="465" t="s">
        <v>604</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276607.96060851926</v>
      </c>
      <c r="Q26" s="177" t="s">
        <v>425</v>
      </c>
      <c r="R26" s="179">
        <f>SUM(R27:R86)</f>
        <v>276607.96060851926</v>
      </c>
      <c r="S26" s="177" t="s">
        <v>425</v>
      </c>
      <c r="T26" s="177" t="s">
        <v>425</v>
      </c>
      <c r="U26" s="177" t="s">
        <v>425</v>
      </c>
      <c r="V26" s="177" t="s">
        <v>425</v>
      </c>
      <c r="W26" s="177" t="s">
        <v>425</v>
      </c>
      <c r="X26" s="177" t="s">
        <v>425</v>
      </c>
      <c r="Y26" s="177" t="s">
        <v>425</v>
      </c>
      <c r="Z26" s="177" t="s">
        <v>425</v>
      </c>
      <c r="AA26" s="177" t="s">
        <v>425</v>
      </c>
      <c r="AB26" s="179">
        <f>SUM(AB27:AB86)</f>
        <v>247297.58439999999</v>
      </c>
      <c r="AC26" s="177" t="s">
        <v>425</v>
      </c>
      <c r="AD26" s="179">
        <f>SUM(AD27:AD86)</f>
        <v>296757.10128</v>
      </c>
      <c r="AE26" s="179">
        <f>SUM(AE27:AE86)</f>
        <v>147832.77502999996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135023.81573999999</v>
      </c>
      <c r="AY26" s="179">
        <f t="shared" si="46"/>
        <v>149524.32625000001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94402</v>
      </c>
      <c r="Q27" s="214" t="s">
        <v>512</v>
      </c>
      <c r="R27" s="215">
        <v>94402</v>
      </c>
      <c r="S27" s="214" t="s">
        <v>513</v>
      </c>
      <c r="T27" s="214" t="s">
        <v>513</v>
      </c>
      <c r="U27" s="214">
        <v>3</v>
      </c>
      <c r="V27" s="214">
        <v>2</v>
      </c>
      <c r="W27" s="214" t="s">
        <v>514</v>
      </c>
      <c r="X27" s="214" t="s">
        <v>515</v>
      </c>
      <c r="Y27" s="214" t="s">
        <v>516</v>
      </c>
      <c r="Z27" s="214">
        <v>1</v>
      </c>
      <c r="AA27" s="214" t="s">
        <v>517</v>
      </c>
      <c r="AB27" s="215">
        <v>79000</v>
      </c>
      <c r="AC27" s="214" t="s">
        <v>518</v>
      </c>
      <c r="AD27" s="215">
        <v>94800</v>
      </c>
      <c r="AE27" s="291">
        <f>IF(IFERROR(AD27-AY27,"нд")&lt;0,0,IFERROR(AD27-AY27,"нд"))</f>
        <v>3156.0737499999814</v>
      </c>
      <c r="AF27" s="214">
        <v>32212009367</v>
      </c>
      <c r="AG27" s="214" t="s">
        <v>519</v>
      </c>
      <c r="AH27" s="214" t="s">
        <v>520</v>
      </c>
      <c r="AI27" s="216">
        <v>44926</v>
      </c>
      <c r="AJ27" s="216">
        <v>44924</v>
      </c>
      <c r="AK27" s="216">
        <v>44947</v>
      </c>
      <c r="AL27" s="216">
        <v>44965</v>
      </c>
      <c r="AM27" s="214" t="s">
        <v>425</v>
      </c>
      <c r="AN27" s="214" t="s">
        <v>425</v>
      </c>
      <c r="AO27" s="214" t="s">
        <v>425</v>
      </c>
      <c r="AP27" s="214" t="s">
        <v>425</v>
      </c>
      <c r="AQ27" s="216">
        <v>44985</v>
      </c>
      <c r="AR27" s="216">
        <v>44984</v>
      </c>
      <c r="AS27" s="216">
        <v>44985</v>
      </c>
      <c r="AT27" s="216">
        <v>44984</v>
      </c>
      <c r="AU27" s="216">
        <v>45307</v>
      </c>
      <c r="AV27" s="214" t="s">
        <v>425</v>
      </c>
      <c r="AW27" s="214" t="s">
        <v>425</v>
      </c>
      <c r="AX27" s="217">
        <v>85961.815739999991</v>
      </c>
      <c r="AY27" s="217">
        <v>91643.926250000019</v>
      </c>
      <c r="AZ27" s="215" t="s">
        <v>521</v>
      </c>
      <c r="BA27" s="215" t="s">
        <v>522</v>
      </c>
      <c r="BB27" s="215" t="s">
        <v>518</v>
      </c>
      <c r="BC27" s="215" t="s">
        <v>523</v>
      </c>
      <c r="BD27" s="215" t="str">
        <f>CONCATENATE(BB27,", ",BA27,", ",N27,", ","договор № ",BC27)</f>
        <v>ОБЩЕСТВО С ОГРАНИЧЕННОЙ ОТВЕТСТВЕННОСТЬЮ "ВЕЛЛЭНЕРДЖИ",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ИП-23-00028 от 27.02.2023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7841</v>
      </c>
      <c r="Q28" s="214" t="s">
        <v>512</v>
      </c>
      <c r="R28" s="215">
        <v>7841</v>
      </c>
      <c r="S28" s="214" t="s">
        <v>526</v>
      </c>
      <c r="T28" s="214" t="s">
        <v>526</v>
      </c>
      <c r="U28" s="214">
        <v>3</v>
      </c>
      <c r="V28" s="214">
        <v>8</v>
      </c>
      <c r="W28" s="214" t="s">
        <v>527</v>
      </c>
      <c r="X28" s="214" t="s">
        <v>528</v>
      </c>
      <c r="Y28" s="214" t="s">
        <v>529</v>
      </c>
      <c r="Z28" s="214">
        <v>1</v>
      </c>
      <c r="AA28" s="214" t="s">
        <v>530</v>
      </c>
      <c r="AB28" s="215">
        <v>4970</v>
      </c>
      <c r="AC28" s="214" t="s">
        <v>531</v>
      </c>
      <c r="AD28" s="215">
        <v>5964</v>
      </c>
      <c r="AE28" s="291">
        <f t="shared" ref="AE28:AE86" si="49">IF(IFERROR(AD28-AY28,"нд")&lt;0,0,IFERROR(AD28-AY28,"нд"))</f>
        <v>994</v>
      </c>
      <c r="AF28" s="214">
        <v>31907796072</v>
      </c>
      <c r="AG28" s="214" t="s">
        <v>519</v>
      </c>
      <c r="AH28" s="214" t="s">
        <v>532</v>
      </c>
      <c r="AI28" s="216">
        <v>43585</v>
      </c>
      <c r="AJ28" s="216">
        <v>43592</v>
      </c>
      <c r="AK28" s="216">
        <v>43600</v>
      </c>
      <c r="AL28" s="216">
        <v>43609</v>
      </c>
      <c r="AM28" s="214" t="s">
        <v>425</v>
      </c>
      <c r="AN28" s="214" t="s">
        <v>425</v>
      </c>
      <c r="AO28" s="214" t="s">
        <v>425</v>
      </c>
      <c r="AP28" s="214" t="s">
        <v>425</v>
      </c>
      <c r="AQ28" s="216">
        <v>43629</v>
      </c>
      <c r="AR28" s="216">
        <v>43635</v>
      </c>
      <c r="AS28" s="216">
        <v>43629</v>
      </c>
      <c r="AT28" s="216">
        <v>43635</v>
      </c>
      <c r="AU28" s="216">
        <v>44190</v>
      </c>
      <c r="AV28" s="214" t="s">
        <v>425</v>
      </c>
      <c r="AW28" s="214" t="s">
        <v>425</v>
      </c>
      <c r="AX28" s="215">
        <v>4970</v>
      </c>
      <c r="AY28" s="215">
        <v>4970</v>
      </c>
      <c r="AZ28" s="215" t="s">
        <v>521</v>
      </c>
      <c r="BA28" s="215" t="s">
        <v>524</v>
      </c>
      <c r="BB28" s="215" t="s">
        <v>533</v>
      </c>
      <c r="BC28" s="215" t="s">
        <v>534</v>
      </c>
      <c r="BD28" s="215" t="str">
        <f t="shared" ref="BD28:BD86" si="50">CONCATENATE(BB28,", ",BA28,", ",N28,", ","договор № ",BC28)</f>
        <v>ООО "Инженерная компания Сибири", ПИР, Проектно-изыскательские работы по реконструкции ПС 220 кВ Южная в части замены ОД, КЗ 220 кВ, установки ячеек выключателей 220 кВ (3 шт.), замены ТСН, договор № ИП-19-00144 от 19.06.2019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535</v>
      </c>
      <c r="N29" s="214" t="s">
        <v>536</v>
      </c>
      <c r="O29" s="214" t="s">
        <v>511</v>
      </c>
      <c r="P29" s="215">
        <v>29492.90060851927</v>
      </c>
      <c r="Q29" s="214" t="s">
        <v>512</v>
      </c>
      <c r="R29" s="215">
        <v>29492.90060851927</v>
      </c>
      <c r="S29" s="214" t="s">
        <v>537</v>
      </c>
      <c r="T29" s="214" t="s">
        <v>537</v>
      </c>
      <c r="U29" s="214">
        <v>3</v>
      </c>
      <c r="V29" s="214">
        <v>3</v>
      </c>
      <c r="W29" s="214" t="s">
        <v>538</v>
      </c>
      <c r="X29" s="214" t="s">
        <v>539</v>
      </c>
      <c r="Y29" s="214" t="s">
        <v>516</v>
      </c>
      <c r="Z29" s="214">
        <v>1</v>
      </c>
      <c r="AA29" s="214" t="s">
        <v>540</v>
      </c>
      <c r="AB29" s="215">
        <v>29080</v>
      </c>
      <c r="AC29" s="214" t="s">
        <v>541</v>
      </c>
      <c r="AD29" s="215">
        <v>34896</v>
      </c>
      <c r="AE29" s="291">
        <f t="shared" si="49"/>
        <v>0</v>
      </c>
      <c r="AF29" s="214">
        <v>31908464476</v>
      </c>
      <c r="AG29" s="214" t="s">
        <v>519</v>
      </c>
      <c r="AH29" s="214" t="s">
        <v>532</v>
      </c>
      <c r="AI29" s="216">
        <v>43769</v>
      </c>
      <c r="AJ29" s="216">
        <v>43777</v>
      </c>
      <c r="AK29" s="216">
        <v>43781</v>
      </c>
      <c r="AL29" s="216">
        <v>43810</v>
      </c>
      <c r="AM29" s="214" t="s">
        <v>425</v>
      </c>
      <c r="AN29" s="214" t="s">
        <v>425</v>
      </c>
      <c r="AO29" s="214" t="s">
        <v>425</v>
      </c>
      <c r="AP29" s="214" t="s">
        <v>425</v>
      </c>
      <c r="AQ29" s="216">
        <v>43830</v>
      </c>
      <c r="AR29" s="216">
        <v>43817</v>
      </c>
      <c r="AS29" s="216">
        <v>43830</v>
      </c>
      <c r="AT29" s="216">
        <v>44165</v>
      </c>
      <c r="AU29" s="216">
        <v>44144</v>
      </c>
      <c r="AV29" s="214" t="s">
        <v>425</v>
      </c>
      <c r="AW29" s="214" t="s">
        <v>425</v>
      </c>
      <c r="AX29" s="215">
        <v>29580</v>
      </c>
      <c r="AY29" s="215">
        <v>35496</v>
      </c>
      <c r="AZ29" s="215" t="s">
        <v>542</v>
      </c>
      <c r="BA29" s="215" t="s">
        <v>535</v>
      </c>
      <c r="BB29" s="215" t="s">
        <v>543</v>
      </c>
      <c r="BC29" s="215" t="s">
        <v>544</v>
      </c>
      <c r="BD29" s="215" t="str">
        <f t="shared" si="50"/>
        <v>ООО "Остерон", ТМЦ, Поставка выключателей баковых элегазовых 220 кВ, договор № ПД-19-00393 от 18.12.2019</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535</v>
      </c>
      <c r="N30" s="214" t="s">
        <v>545</v>
      </c>
      <c r="O30" s="214" t="s">
        <v>511</v>
      </c>
      <c r="P30" s="215">
        <v>1347.5</v>
      </c>
      <c r="Q30" s="214" t="s">
        <v>512</v>
      </c>
      <c r="R30" s="215">
        <v>1347.5</v>
      </c>
      <c r="S30" s="214" t="s">
        <v>546</v>
      </c>
      <c r="T30" s="214" t="s">
        <v>546</v>
      </c>
      <c r="U30" s="214">
        <v>8</v>
      </c>
      <c r="V30" s="214">
        <v>3</v>
      </c>
      <c r="W30" s="214" t="s">
        <v>547</v>
      </c>
      <c r="X30" s="214" t="s">
        <v>548</v>
      </c>
      <c r="Y30" s="214" t="s">
        <v>516</v>
      </c>
      <c r="Z30" s="214" t="s">
        <v>425</v>
      </c>
      <c r="AA30" s="214" t="s">
        <v>549</v>
      </c>
      <c r="AB30" s="215">
        <v>592</v>
      </c>
      <c r="AC30" s="214" t="s">
        <v>550</v>
      </c>
      <c r="AD30" s="215">
        <v>710.4</v>
      </c>
      <c r="AE30" s="291">
        <f t="shared" si="49"/>
        <v>0</v>
      </c>
      <c r="AF30" s="214">
        <v>32009462691</v>
      </c>
      <c r="AG30" s="214" t="s">
        <v>519</v>
      </c>
      <c r="AH30" s="214" t="s">
        <v>532</v>
      </c>
      <c r="AI30" s="216">
        <v>44104</v>
      </c>
      <c r="AJ30" s="216">
        <v>44077</v>
      </c>
      <c r="AK30" s="216">
        <v>44085</v>
      </c>
      <c r="AL30" s="216">
        <v>44099</v>
      </c>
      <c r="AM30" s="214" t="s">
        <v>425</v>
      </c>
      <c r="AN30" s="214" t="s">
        <v>425</v>
      </c>
      <c r="AO30" s="214" t="s">
        <v>425</v>
      </c>
      <c r="AP30" s="214" t="s">
        <v>425</v>
      </c>
      <c r="AQ30" s="216">
        <v>44119</v>
      </c>
      <c r="AR30" s="216">
        <v>44119</v>
      </c>
      <c r="AS30" s="216">
        <v>44119</v>
      </c>
      <c r="AT30" s="216">
        <v>44165</v>
      </c>
      <c r="AU30" s="216">
        <v>44151</v>
      </c>
      <c r="AV30" s="214" t="s">
        <v>425</v>
      </c>
      <c r="AW30" s="214" t="s">
        <v>425</v>
      </c>
      <c r="AX30" s="215">
        <v>592</v>
      </c>
      <c r="AY30" s="215">
        <v>710.4</v>
      </c>
      <c r="AZ30" s="215" t="s">
        <v>542</v>
      </c>
      <c r="BA30" s="215" t="s">
        <v>535</v>
      </c>
      <c r="BB30" s="215" t="s">
        <v>551</v>
      </c>
      <c r="BC30" s="215" t="s">
        <v>552</v>
      </c>
      <c r="BD30" s="215" t="str">
        <f t="shared" si="50"/>
        <v>Акционерное общество "Торговый дом "Узэлектротехкомплект", ТМЦ, Поставка трансформаторов ТМГ, договор № ПД-20-00223 от 15.10.2020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535</v>
      </c>
      <c r="N31" s="214" t="s">
        <v>553</v>
      </c>
      <c r="O31" s="214" t="s">
        <v>511</v>
      </c>
      <c r="P31" s="215">
        <v>4800</v>
      </c>
      <c r="Q31" s="214" t="s">
        <v>512</v>
      </c>
      <c r="R31" s="215">
        <v>4800</v>
      </c>
      <c r="S31" s="214" t="s">
        <v>546</v>
      </c>
      <c r="T31" s="214" t="s">
        <v>546</v>
      </c>
      <c r="U31" s="214">
        <v>8</v>
      </c>
      <c r="V31" s="214">
        <v>2</v>
      </c>
      <c r="W31" s="214" t="s">
        <v>554</v>
      </c>
      <c r="X31" s="214" t="s">
        <v>555</v>
      </c>
      <c r="Y31" s="214" t="s">
        <v>516</v>
      </c>
      <c r="Z31" s="214" t="s">
        <v>425</v>
      </c>
      <c r="AA31" s="214" t="s">
        <v>555</v>
      </c>
      <c r="AB31" s="215">
        <v>4560</v>
      </c>
      <c r="AC31" s="214" t="s">
        <v>556</v>
      </c>
      <c r="AD31" s="215">
        <v>5472</v>
      </c>
      <c r="AE31" s="291">
        <f t="shared" si="49"/>
        <v>0</v>
      </c>
      <c r="AF31" s="214">
        <v>32009462728</v>
      </c>
      <c r="AG31" s="214" t="s">
        <v>519</v>
      </c>
      <c r="AH31" s="214" t="s">
        <v>532</v>
      </c>
      <c r="AI31" s="216">
        <v>44104</v>
      </c>
      <c r="AJ31" s="216">
        <v>44077</v>
      </c>
      <c r="AK31" s="216">
        <v>44085</v>
      </c>
      <c r="AL31" s="216">
        <v>44099</v>
      </c>
      <c r="AM31" s="214" t="s">
        <v>425</v>
      </c>
      <c r="AN31" s="214" t="s">
        <v>425</v>
      </c>
      <c r="AO31" s="214" t="s">
        <v>425</v>
      </c>
      <c r="AP31" s="214" t="s">
        <v>425</v>
      </c>
      <c r="AQ31" s="216">
        <v>44119</v>
      </c>
      <c r="AR31" s="216">
        <v>44118</v>
      </c>
      <c r="AS31" s="216">
        <v>44119</v>
      </c>
      <c r="AT31" s="216">
        <v>44165</v>
      </c>
      <c r="AU31" s="216">
        <v>44173</v>
      </c>
      <c r="AV31" s="214" t="s">
        <v>425</v>
      </c>
      <c r="AW31" s="214" t="s">
        <v>425</v>
      </c>
      <c r="AX31" s="215">
        <v>4560</v>
      </c>
      <c r="AY31" s="215">
        <v>5472</v>
      </c>
      <c r="AZ31" s="215" t="s">
        <v>542</v>
      </c>
      <c r="BA31" s="215" t="s">
        <v>535</v>
      </c>
      <c r="BB31" s="215" t="s">
        <v>557</v>
      </c>
      <c r="BC31" s="215" t="s">
        <v>558</v>
      </c>
      <c r="BD31" s="215" t="str">
        <f t="shared" si="50"/>
        <v>Индивидуальный предприниматель Григорьянц Артем Александрович, ТМЦ, Поставка трансформаторов 220 кВ, договор № ПД-20-00217 от 14.10.2020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559</v>
      </c>
      <c r="O32" s="214" t="s">
        <v>511</v>
      </c>
      <c r="P32" s="215">
        <v>61209.78</v>
      </c>
      <c r="Q32" s="214" t="s">
        <v>512</v>
      </c>
      <c r="R32" s="215">
        <v>61209.78</v>
      </c>
      <c r="S32" s="214" t="s">
        <v>513</v>
      </c>
      <c r="T32" s="214" t="s">
        <v>513</v>
      </c>
      <c r="U32" s="214">
        <v>3</v>
      </c>
      <c r="V32" s="214">
        <v>1</v>
      </c>
      <c r="W32" s="214" t="s">
        <v>560</v>
      </c>
      <c r="X32" s="214">
        <v>59985.5844</v>
      </c>
      <c r="Y32" s="214" t="s">
        <v>516</v>
      </c>
      <c r="Z32" s="214">
        <v>1</v>
      </c>
      <c r="AA32" s="214">
        <v>59985.5844</v>
      </c>
      <c r="AB32" s="215">
        <v>59985.5844</v>
      </c>
      <c r="AC32" s="214" t="s">
        <v>560</v>
      </c>
      <c r="AD32" s="215">
        <v>71982.701279999994</v>
      </c>
      <c r="AE32" s="291">
        <f t="shared" si="49"/>
        <v>71982.701279999994</v>
      </c>
      <c r="AF32" s="214">
        <v>32211333215</v>
      </c>
      <c r="AG32" s="214" t="s">
        <v>519</v>
      </c>
      <c r="AH32" s="214" t="s">
        <v>520</v>
      </c>
      <c r="AI32" s="216">
        <v>44681</v>
      </c>
      <c r="AJ32" s="216">
        <v>44672</v>
      </c>
      <c r="AK32" s="216">
        <v>44689</v>
      </c>
      <c r="AL32" s="216">
        <v>44701</v>
      </c>
      <c r="AM32" s="214" t="s">
        <v>425</v>
      </c>
      <c r="AN32" s="214" t="s">
        <v>425</v>
      </c>
      <c r="AO32" s="214" t="s">
        <v>425</v>
      </c>
      <c r="AP32" s="214" t="s">
        <v>425</v>
      </c>
      <c r="AQ32" s="216">
        <v>44721</v>
      </c>
      <c r="AR32" s="216">
        <v>44714</v>
      </c>
      <c r="AS32" s="216">
        <v>44721</v>
      </c>
      <c r="AT32" s="216">
        <v>44714</v>
      </c>
      <c r="AU32" s="216">
        <v>45290</v>
      </c>
      <c r="AV32" s="214" t="s">
        <v>561</v>
      </c>
      <c r="AW32" s="214" t="s">
        <v>425</v>
      </c>
      <c r="AX32" s="215">
        <v>0</v>
      </c>
      <c r="AY32" s="215">
        <v>0</v>
      </c>
      <c r="AZ32" s="215" t="s">
        <v>521</v>
      </c>
      <c r="BA32" s="215" t="s">
        <v>522</v>
      </c>
      <c r="BB32" s="215" t="s">
        <v>562</v>
      </c>
      <c r="BC32" s="215" t="s">
        <v>563</v>
      </c>
      <c r="BD32" s="215" t="str">
        <f t="shared" si="50"/>
        <v>ООО "ПРОЕКТНЫЙ ЦЕНТР СИБИРИ",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ИП-22-00138 от 02.06.2022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559</v>
      </c>
      <c r="O33" s="214" t="s">
        <v>511</v>
      </c>
      <c r="P33" s="215">
        <v>61209.78</v>
      </c>
      <c r="Q33" s="214" t="s">
        <v>512</v>
      </c>
      <c r="R33" s="215">
        <v>61209.78</v>
      </c>
      <c r="S33" s="214" t="s">
        <v>513</v>
      </c>
      <c r="T33" s="214" t="s">
        <v>513</v>
      </c>
      <c r="U33" s="214">
        <v>3</v>
      </c>
      <c r="V33" s="214">
        <v>2</v>
      </c>
      <c r="W33" s="214" t="s">
        <v>564</v>
      </c>
      <c r="X33" s="214" t="s">
        <v>565</v>
      </c>
      <c r="Y33" s="214" t="s">
        <v>516</v>
      </c>
      <c r="Z33" s="214">
        <v>1</v>
      </c>
      <c r="AA33" s="214" t="s">
        <v>566</v>
      </c>
      <c r="AB33" s="215">
        <v>59750</v>
      </c>
      <c r="AC33" s="214" t="s">
        <v>567</v>
      </c>
      <c r="AD33" s="215">
        <v>71700</v>
      </c>
      <c r="AE33" s="291">
        <f t="shared" si="49"/>
        <v>71700</v>
      </c>
      <c r="AF33" s="214">
        <v>32211176333</v>
      </c>
      <c r="AG33" s="214" t="s">
        <v>519</v>
      </c>
      <c r="AH33" s="214" t="s">
        <v>520</v>
      </c>
      <c r="AI33" s="216">
        <v>44620</v>
      </c>
      <c r="AJ33" s="216">
        <v>44620</v>
      </c>
      <c r="AK33" s="216">
        <v>44647</v>
      </c>
      <c r="AL33" s="216">
        <v>44651</v>
      </c>
      <c r="AM33" s="214" t="s">
        <v>425</v>
      </c>
      <c r="AN33" s="214" t="s">
        <v>425</v>
      </c>
      <c r="AO33" s="214" t="s">
        <v>425</v>
      </c>
      <c r="AP33" s="214" t="s">
        <v>425</v>
      </c>
      <c r="AQ33" s="216">
        <v>44671</v>
      </c>
      <c r="AR33" s="216">
        <v>44669</v>
      </c>
      <c r="AS33" s="216">
        <v>44671</v>
      </c>
      <c r="AT33" s="216">
        <v>44669</v>
      </c>
      <c r="AU33" s="216">
        <v>45290</v>
      </c>
      <c r="AV33" s="214" t="s">
        <v>561</v>
      </c>
      <c r="AW33" s="214" t="s">
        <v>425</v>
      </c>
      <c r="AX33" s="215">
        <v>0</v>
      </c>
      <c r="AY33" s="215">
        <v>0</v>
      </c>
      <c r="AZ33" s="215" t="s">
        <v>521</v>
      </c>
      <c r="BA33" s="215" t="s">
        <v>522</v>
      </c>
      <c r="BB33" s="215" t="s">
        <v>567</v>
      </c>
      <c r="BC33" s="215" t="s">
        <v>568</v>
      </c>
      <c r="BD33" s="215" t="str">
        <f t="shared" si="50"/>
        <v>АО "РЭМиС",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ИП-22-00097 от 18.04.2022</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535</v>
      </c>
      <c r="N34" s="214" t="s">
        <v>569</v>
      </c>
      <c r="O34" s="214" t="s">
        <v>511</v>
      </c>
      <c r="P34" s="215">
        <v>16305</v>
      </c>
      <c r="Q34" s="214" t="s">
        <v>512</v>
      </c>
      <c r="R34" s="215">
        <v>16305</v>
      </c>
      <c r="S34" s="214" t="s">
        <v>570</v>
      </c>
      <c r="T34" s="214" t="s">
        <v>570</v>
      </c>
      <c r="U34" s="214">
        <v>6</v>
      </c>
      <c r="V34" s="214">
        <v>7</v>
      </c>
      <c r="W34" s="214" t="s">
        <v>571</v>
      </c>
      <c r="X34" s="214" t="s">
        <v>572</v>
      </c>
      <c r="Y34" s="214" t="s">
        <v>573</v>
      </c>
      <c r="Z34" s="214">
        <v>1</v>
      </c>
      <c r="AA34" s="214" t="s">
        <v>574</v>
      </c>
      <c r="AB34" s="215">
        <v>9360</v>
      </c>
      <c r="AC34" s="214" t="s">
        <v>575</v>
      </c>
      <c r="AD34" s="215">
        <v>11232</v>
      </c>
      <c r="AE34" s="291">
        <f t="shared" si="49"/>
        <v>0</v>
      </c>
      <c r="AF34" s="214" t="s">
        <v>425</v>
      </c>
      <c r="AG34" s="214" t="s">
        <v>519</v>
      </c>
      <c r="AH34" s="214" t="s">
        <v>532</v>
      </c>
      <c r="AI34" s="216">
        <v>44135</v>
      </c>
      <c r="AJ34" s="216">
        <v>44127</v>
      </c>
      <c r="AK34" s="216">
        <v>44137</v>
      </c>
      <c r="AL34" s="216">
        <v>44148</v>
      </c>
      <c r="AM34" s="214" t="s">
        <v>425</v>
      </c>
      <c r="AN34" s="214" t="s">
        <v>425</v>
      </c>
      <c r="AO34" s="214" t="s">
        <v>425</v>
      </c>
      <c r="AP34" s="214" t="s">
        <v>425</v>
      </c>
      <c r="AQ34" s="216">
        <v>44168</v>
      </c>
      <c r="AR34" s="216">
        <v>44160</v>
      </c>
      <c r="AS34" s="216">
        <v>44168</v>
      </c>
      <c r="AT34" s="216">
        <v>44175</v>
      </c>
      <c r="AU34" s="216">
        <v>44193</v>
      </c>
      <c r="AV34" s="214" t="s">
        <v>425</v>
      </c>
      <c r="AW34" s="214" t="s">
        <v>425</v>
      </c>
      <c r="AX34" s="215">
        <v>9360</v>
      </c>
      <c r="AY34" s="215">
        <v>11232</v>
      </c>
      <c r="AZ34" s="215" t="s">
        <v>542</v>
      </c>
      <c r="BA34" s="215" t="s">
        <v>535</v>
      </c>
      <c r="BB34" s="215" t="s">
        <v>576</v>
      </c>
      <c r="BC34" s="215" t="s">
        <v>577</v>
      </c>
      <c r="BD34" s="215" t="str">
        <f t="shared" si="50"/>
        <v>ООО "ТД "Пермснаб", ТМЦ, Поставка разъединителей, договор № ПД-20-00272 от 25.11.2020</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2025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M_00.0004.000004</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589</v>
      </c>
    </row>
    <row r="22" spans="1:2" x14ac:dyDescent="0.25">
      <c r="A22" s="157" t="s">
        <v>306</v>
      </c>
      <c r="B22" s="157" t="s">
        <v>594</v>
      </c>
    </row>
    <row r="23" spans="1:2" x14ac:dyDescent="0.25">
      <c r="A23" s="157" t="s">
        <v>288</v>
      </c>
      <c r="B23" s="157" t="s">
        <v>580</v>
      </c>
    </row>
    <row r="24" spans="1:2" x14ac:dyDescent="0.25">
      <c r="A24" s="157" t="s">
        <v>307</v>
      </c>
      <c r="B24" s="157" t="s">
        <v>425</v>
      </c>
    </row>
    <row r="25" spans="1:2" x14ac:dyDescent="0.25">
      <c r="A25" s="158" t="s">
        <v>308</v>
      </c>
      <c r="B25" s="175">
        <v>45503</v>
      </c>
    </row>
    <row r="26" spans="1:2" x14ac:dyDescent="0.25">
      <c r="A26" s="158" t="s">
        <v>309</v>
      </c>
      <c r="B26" s="160" t="s">
        <v>593</v>
      </c>
    </row>
    <row r="27" spans="1:2" x14ac:dyDescent="0.25">
      <c r="A27" s="160" t="str">
        <f>CONCATENATE("Стоимость проекта в прогнозных ценах, млн. руб. с НДС")</f>
        <v>Стоимость проекта в прогнозных ценах, млн. руб. с НДС</v>
      </c>
      <c r="B27" s="171">
        <v>166.67647827294462</v>
      </c>
    </row>
    <row r="28" spans="1:2" ht="93.75" customHeight="1" x14ac:dyDescent="0.25">
      <c r="A28" s="159" t="s">
        <v>310</v>
      </c>
      <c r="B28" s="162" t="s">
        <v>581</v>
      </c>
    </row>
    <row r="29" spans="1:2" ht="28.5" x14ac:dyDescent="0.25">
      <c r="A29" s="160" t="s">
        <v>311</v>
      </c>
      <c r="B29" s="171">
        <f>'7. Паспорт отчет о закупке'!$AB$26*1.2/1000</f>
        <v>296.75710128000003</v>
      </c>
    </row>
    <row r="30" spans="1:2" ht="28.5" x14ac:dyDescent="0.25">
      <c r="A30" s="160" t="s">
        <v>312</v>
      </c>
      <c r="B30" s="171">
        <f>'7. Паспорт отчет о закупке'!$AD$26/1000</f>
        <v>296.75710128000003</v>
      </c>
    </row>
    <row r="31" spans="1:2" x14ac:dyDescent="0.25">
      <c r="A31" s="159" t="s">
        <v>313</v>
      </c>
      <c r="B31" s="161"/>
    </row>
    <row r="32" spans="1:2" ht="28.5" x14ac:dyDescent="0.25">
      <c r="A32" s="160" t="s">
        <v>314</v>
      </c>
      <c r="B32" s="171">
        <f>SUM(SUMIF(B33,"&gt;0",B33),SUMIF(B37,"&gt;0",B37),SUMIF(B41,"&gt;0",B41),SUMIF(B45,"&gt;0",B45),SUMIF(B49,"&gt;0",B49),SUMIF(B53,"&gt;0",B53))</f>
        <v>172.74670128</v>
      </c>
    </row>
    <row r="33" spans="1:2" ht="30" x14ac:dyDescent="0.25">
      <c r="A33" s="168" t="s">
        <v>433</v>
      </c>
      <c r="B33" s="161">
        <f>IFERROR(IF(VLOOKUP(1,'7. Паспорт отчет о закупке'!$A$27:$CD$86,52,0)="ИП",VLOOKUP(1,'7. Паспорт отчет о закупке'!$A$27:$CD$86,30,0)/1000,"нд"),"нд")</f>
        <v>94.8</v>
      </c>
    </row>
    <row r="34" spans="1:2" x14ac:dyDescent="0.25">
      <c r="A34" s="168" t="s">
        <v>315</v>
      </c>
      <c r="B34" s="161">
        <f>IF(B33="нд","нд",$B33/$B$27*100)</f>
        <v>56.876651692123126</v>
      </c>
    </row>
    <row r="35" spans="1:2" x14ac:dyDescent="0.25">
      <c r="A35" s="168" t="s">
        <v>316</v>
      </c>
      <c r="B35" s="161">
        <f>IF(VLOOKUP(1,'7. Паспорт отчет о закупке'!$A$27:$CD$86,52,0)="ИП",VLOOKUP(1,'7. Паспорт отчет о закупке'!$A$27:$CD$86,51,0)/1000,"нд")</f>
        <v>91.643926250000021</v>
      </c>
    </row>
    <row r="36" spans="1:2" x14ac:dyDescent="0.25">
      <c r="A36" s="168" t="s">
        <v>437</v>
      </c>
      <c r="B36" s="161">
        <f>IF(VLOOKUP(1,'7. Паспорт отчет о закупке'!$A$27:$CD$86,52,0)="ИП",VLOOKUP(1,'7. Паспорт отчет о закупке'!$A$27:$CD$86,50,0)/1000,"нд")</f>
        <v>85.961815739999992</v>
      </c>
    </row>
    <row r="37" spans="1:2" ht="30" x14ac:dyDescent="0.25">
      <c r="A37" s="168" t="s">
        <v>433</v>
      </c>
      <c r="B37" s="161">
        <f>IF(VLOOKUP(2,'7. Паспорт отчет о закупке'!$A$27:$CD$86,52,0)="ИП",VLOOKUP(2,'7. Паспорт отчет о закупке'!$A$27:$CD$86,30,0)/1000,"нд")</f>
        <v>5.9640000000000004</v>
      </c>
    </row>
    <row r="38" spans="1:2" x14ac:dyDescent="0.25">
      <c r="A38" s="168" t="s">
        <v>315</v>
      </c>
      <c r="B38" s="161">
        <f>IF(B37="нд","нд",$B37/$B$27*100)</f>
        <v>3.5781893532892655</v>
      </c>
    </row>
    <row r="39" spans="1:2" x14ac:dyDescent="0.25">
      <c r="A39" s="168" t="s">
        <v>316</v>
      </c>
      <c r="B39" s="161">
        <f>IF(VLOOKUP(2,'7. Паспорт отчет о закупке'!$A$27:$CD$86,52,0)="ИП",VLOOKUP(2,'7. Паспорт отчет о закупке'!$A$27:$CD$86,51,0)/1000,"нд")</f>
        <v>4.97</v>
      </c>
    </row>
    <row r="40" spans="1:2" x14ac:dyDescent="0.25">
      <c r="A40" s="168" t="s">
        <v>437</v>
      </c>
      <c r="B40" s="161">
        <f>IF(VLOOKUP(2,'7. Паспорт отчет о закупке'!$A$27:$CD$86,52,0)="ИП",VLOOKUP(2,'7. Паспорт отчет о закупке'!$A$27:$CD$86,50,0)/1000,"нд")</f>
        <v>4.97</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71.982701280000001</v>
      </c>
    </row>
    <row r="54" spans="1:2" x14ac:dyDescent="0.25">
      <c r="A54" s="168" t="s">
        <v>315</v>
      </c>
      <c r="B54" s="161">
        <f>IF(B53="нд","нд",$B53/$B$27*100)</f>
        <v>43.187078360344998</v>
      </c>
    </row>
    <row r="55" spans="1:2" x14ac:dyDescent="0.25">
      <c r="A55" s="168" t="s">
        <v>316</v>
      </c>
      <c r="B55" s="161">
        <f>IF(VLOOKUP(6,'7. Паспорт отчет о закупке'!$A$27:$CD$86,52,0)="ИП",VLOOKUP(6,'7. Паспорт отчет о закупке'!$A$27:$CD$86,51,0)/1000,"нд")</f>
        <v>0</v>
      </c>
    </row>
    <row r="56" spans="1:2" x14ac:dyDescent="0.25">
      <c r="A56" s="168" t="s">
        <v>437</v>
      </c>
      <c r="B56" s="161">
        <f>IF(VLOOKUP(6,'7. Паспорт отчет о закупке'!$A$27:$CD$86,52,0)="ИП",VLOOKUP(6,'7. Паспорт отчет о закупке'!$A$27:$CD$86,50,0)/1000,"нд")</f>
        <v>0</v>
      </c>
    </row>
    <row r="57" spans="1:2" ht="28.5" x14ac:dyDescent="0.25">
      <c r="A57" s="169" t="s">
        <v>317</v>
      </c>
      <c r="B57" s="171">
        <f>SUM(SUMIF(B58,"&gt;0",B58),SUMIF(B62,"&gt;0",B62),SUMIF(B66,"&gt;0",B66),SUMIF(B70,"&gt;0",B70),SUMIF(B74,"&gt;0",B74))</f>
        <v>41.078400000000002</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34.896000000000001</v>
      </c>
    </row>
    <row r="67" spans="1:2" x14ac:dyDescent="0.25">
      <c r="A67" s="168" t="s">
        <v>315</v>
      </c>
      <c r="B67" s="161">
        <f>IF(B66="нд","нд",$B66/$B$27*100)</f>
        <v>20.936367483632161</v>
      </c>
    </row>
    <row r="68" spans="1:2" x14ac:dyDescent="0.25">
      <c r="A68" s="168" t="s">
        <v>316</v>
      </c>
      <c r="B68" s="161">
        <f>IF(VLOOKUP(3,'7. Паспорт отчет о закупке'!$A$27:$CD$86,52,0)="ПД",VLOOKUP(3,'7. Паспорт отчет о закупке'!$A$27:$CD$86,51,0)/1000,"нд")</f>
        <v>35.496000000000002</v>
      </c>
    </row>
    <row r="69" spans="1:2" x14ac:dyDescent="0.25">
      <c r="A69" s="168" t="s">
        <v>437</v>
      </c>
      <c r="B69" s="161">
        <f>IF(VLOOKUP(3,'7. Паспорт отчет о закупке'!$A$27:$CD$86,52,0)="ПД",VLOOKUP(3,'7. Паспорт отчет о закупке'!$A$27:$CD$86,50,0)/1000,"нд")</f>
        <v>29.58</v>
      </c>
    </row>
    <row r="70" spans="1:2" ht="30" x14ac:dyDescent="0.25">
      <c r="A70" s="168" t="s">
        <v>433</v>
      </c>
      <c r="B70" s="161">
        <f>IF(VLOOKUP(4,'7. Паспорт отчет о закупке'!$A$27:$CD$86,52,0)="ПД",VLOOKUP(4,'7. Паспорт отчет о закупке'!$A$27:$CD$86,30,0)/1000,"нд")</f>
        <v>0.71040000000000003</v>
      </c>
    </row>
    <row r="71" spans="1:2" x14ac:dyDescent="0.25">
      <c r="A71" s="168" t="s">
        <v>315</v>
      </c>
      <c r="B71" s="161">
        <f>IF(B70="нд","нд",$B70/$B$27*100)</f>
        <v>0.42621490888274549</v>
      </c>
    </row>
    <row r="72" spans="1:2" x14ac:dyDescent="0.25">
      <c r="A72" s="168" t="s">
        <v>316</v>
      </c>
      <c r="B72" s="161">
        <f>IF(VLOOKUP(4,'7. Паспорт отчет о закупке'!$A$27:$CD$86,52,0)="ПД",VLOOKUP(4,'7. Паспорт отчет о закупке'!$A$27:$CD$86,51,0)/1000,"нд")</f>
        <v>0.71040000000000003</v>
      </c>
    </row>
    <row r="73" spans="1:2" x14ac:dyDescent="0.25">
      <c r="A73" s="168" t="s">
        <v>437</v>
      </c>
      <c r="B73" s="161">
        <f>IF(VLOOKUP(4,'7. Паспорт отчет о закупке'!$A$27:$CD$86,52,0)="ПД",VLOOKUP(4,'7. Паспорт отчет о закупке'!$A$27:$CD$86,50,0)/1000,"нд")</f>
        <v>0.59199999999999997</v>
      </c>
    </row>
    <row r="74" spans="1:2" ht="30" x14ac:dyDescent="0.25">
      <c r="A74" s="168" t="s">
        <v>433</v>
      </c>
      <c r="B74" s="161">
        <f>IF(VLOOKUP(5,'7. Паспорт отчет о закупке'!$A$27:$CD$86,52,0)="ПД",VLOOKUP(5,'7. Паспорт отчет о закупке'!$A$27:$CD$86,30,0)/1000,"нд")</f>
        <v>5.4720000000000004</v>
      </c>
    </row>
    <row r="75" spans="1:2" x14ac:dyDescent="0.25">
      <c r="A75" s="168" t="s">
        <v>315</v>
      </c>
      <c r="B75" s="161">
        <f>IF(B74="нд","нд",$B74/$B$27*100)</f>
        <v>3.2830067305833097</v>
      </c>
    </row>
    <row r="76" spans="1:2" x14ac:dyDescent="0.25">
      <c r="A76" s="168" t="s">
        <v>316</v>
      </c>
      <c r="B76" s="161">
        <f>IF(VLOOKUP(5,'7. Паспорт отчет о закупке'!$A$27:$CD$86,52,0)="ПД",VLOOKUP(5,'7. Паспорт отчет о закупке'!$A$27:$CD$86,51,0)/1000,"нд")</f>
        <v>5.4720000000000004</v>
      </c>
    </row>
    <row r="77" spans="1:2" x14ac:dyDescent="0.25">
      <c r="A77" s="168" t="s">
        <v>437</v>
      </c>
      <c r="B77" s="161">
        <f>IF(VLOOKUP(5,'7. Паспорт отчет о закупке'!$A$27:$CD$86,52,0)="ПД",VLOOKUP(5,'7. Паспорт отчет о закупке'!$A$27:$CD$86,50,0)/1000,"нд")</f>
        <v>4.5599999999999996</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143.08119762973845</v>
      </c>
      <c r="C85" s="194"/>
      <c r="D85" s="195"/>
      <c r="E85" s="194"/>
      <c r="F85" s="194"/>
      <c r="G85" s="194"/>
    </row>
    <row r="86" spans="1:7" x14ac:dyDescent="0.25">
      <c r="A86" s="163" t="s">
        <v>321</v>
      </c>
      <c r="B86" s="166">
        <f>SUMIF('7. Паспорт отчет о закупке'!$BA$27:$BA$86,"ТМЦ",'7. Паспорт отчет о закупке'!$AD$27:$AD$86)/1000/$B$27*100</f>
        <v>31.384392412190277</v>
      </c>
      <c r="C86" s="194"/>
      <c r="D86" s="195"/>
      <c r="E86" s="194"/>
      <c r="F86" s="194"/>
      <c r="G86" s="194"/>
    </row>
    <row r="87" spans="1:7" x14ac:dyDescent="0.25">
      <c r="A87" s="163" t="s">
        <v>322</v>
      </c>
      <c r="B87" s="166">
        <f>SUMIF('7. Паспорт отчет о закупке'!$BA$27:$BA$86,"ПИР",'7. Паспорт отчет о закупке'!$AD$27:$AD$86)/1000/$B$27*100</f>
        <v>3.5781893532892655</v>
      </c>
      <c r="C87" s="194"/>
      <c r="D87" s="195"/>
      <c r="E87" s="194"/>
      <c r="F87" s="194"/>
      <c r="G87" s="194"/>
    </row>
    <row r="88" spans="1:7" ht="30" x14ac:dyDescent="0.25">
      <c r="A88" s="158" t="s">
        <v>439</v>
      </c>
      <c r="B88" s="171">
        <v>48.981596471163357</v>
      </c>
      <c r="C88" s="194"/>
      <c r="D88" s="194"/>
      <c r="E88" s="194"/>
      <c r="F88" s="194"/>
      <c r="G88" s="194"/>
    </row>
    <row r="89" spans="1:7" x14ac:dyDescent="0.25">
      <c r="A89" s="158" t="s">
        <v>323</v>
      </c>
      <c r="B89" s="171">
        <f>'6.2. Паспорт фин осв ввод'!D24-'6.2. Паспорт фин осв ввод'!E24</f>
        <v>143.77506752407103</v>
      </c>
    </row>
    <row r="90" spans="1:7" x14ac:dyDescent="0.25">
      <c r="A90" s="158" t="s">
        <v>436</v>
      </c>
      <c r="B90" s="171">
        <f>IFERROR(SUM(B91*1.2/$B$27*100),0)</f>
        <v>92.492613806938252</v>
      </c>
    </row>
    <row r="91" spans="1:7" x14ac:dyDescent="0.25">
      <c r="A91" s="158" t="s">
        <v>441</v>
      </c>
      <c r="B91" s="171">
        <f>'6.2. Паспорт фин осв ввод'!D34-'6.2. Паспорт фин осв ввод'!E34</f>
        <v>128.46952613000002</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ИП-23-00028 от 27.02.2023
ООО "Инженерная компания Сибири", ПИР, Проектно-изыскательские работы по реконструкции ПС 220 кВ Южная в части замены ОД, КЗ 220 кВ, установки ячеек выключателей 220 кВ (3 шт.), замены ТСН, договор № ИП-19-00144 от 19.06.2019
ООО "Остерон", ТМЦ, Поставка выключателей баковых элегазовых 220 кВ, договор № ПД-19-00393 от 18.12.2019
Акционерное общество "Торговый дом "Узэлектротехкомплект", ТМЦ, Поставка трансформаторов ТМГ, договор № ПД-20-00223 от 15.10.2020
Индивидуальный предприниматель Григорьянц Артем Александрович, ТМЦ, Поставка трансформаторов 220 кВ, договор № ПД-20-00217 от 14.10.2020
ООО "ПРОЕКТНЫЙ ЦЕНТР СИБИРИ",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ИП-22-00138 от 02.06.2022
АО "РЭМиС",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ИП-22-00097 от 18.04.2022
ООО "ТД "Пермснаб", ТМЦ, Поставка разъединителей, договор № ПД-20-00272 от 25.11.2020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M_00.0004.000004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M_00.0004.000004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589</v>
      </c>
      <c r="C25" s="151" t="s">
        <v>589</v>
      </c>
      <c r="D25" s="151" t="s">
        <v>382</v>
      </c>
      <c r="E25" s="151" t="s">
        <v>595</v>
      </c>
      <c r="F25" s="151" t="s">
        <v>596</v>
      </c>
      <c r="G25" s="151" t="s">
        <v>597</v>
      </c>
      <c r="H25" s="151" t="s">
        <v>598</v>
      </c>
      <c r="I25" s="151">
        <v>1975</v>
      </c>
      <c r="J25" s="151" t="s">
        <v>425</v>
      </c>
      <c r="K25" s="151" t="s">
        <v>599</v>
      </c>
      <c r="L25" s="151">
        <v>220</v>
      </c>
      <c r="M25" s="151">
        <v>220</v>
      </c>
      <c r="N25" s="151" t="s">
        <v>425</v>
      </c>
      <c r="O25" s="151" t="s">
        <v>425</v>
      </c>
      <c r="P25" s="244">
        <v>2019</v>
      </c>
      <c r="Q25" s="151" t="s">
        <v>600</v>
      </c>
      <c r="R25" s="151" t="s">
        <v>601</v>
      </c>
      <c r="S25" s="151" t="s">
        <v>425</v>
      </c>
      <c r="T25" s="151" t="s">
        <v>425</v>
      </c>
    </row>
    <row r="26" spans="1:20" s="152" customFormat="1" ht="112.5" customHeight="1" x14ac:dyDescent="0.25">
      <c r="A26" s="151">
        <v>2</v>
      </c>
      <c r="B26" s="151" t="s">
        <v>589</v>
      </c>
      <c r="C26" s="151" t="s">
        <v>589</v>
      </c>
      <c r="D26" s="151" t="s">
        <v>382</v>
      </c>
      <c r="E26" s="151" t="s">
        <v>595</v>
      </c>
      <c r="F26" s="151" t="s">
        <v>596</v>
      </c>
      <c r="G26" s="151" t="s">
        <v>597</v>
      </c>
      <c r="H26" s="151" t="s">
        <v>598</v>
      </c>
      <c r="I26" s="151">
        <v>1975</v>
      </c>
      <c r="J26" s="151" t="s">
        <v>425</v>
      </c>
      <c r="K26" s="151" t="s">
        <v>599</v>
      </c>
      <c r="L26" s="151">
        <v>220</v>
      </c>
      <c r="M26" s="151">
        <v>220</v>
      </c>
      <c r="N26" s="151" t="s">
        <v>425</v>
      </c>
      <c r="O26" s="151" t="s">
        <v>425</v>
      </c>
      <c r="P26" s="151">
        <v>2020</v>
      </c>
      <c r="Q26" s="151" t="s">
        <v>600</v>
      </c>
      <c r="R26" s="151" t="s">
        <v>601</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M_00.0004.000004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587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590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M_00.0004.000004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M_00.0004.000004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M_00.0004.000004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13" zoomScale="55" zoomScaleSheetLayoutView="55" workbookViewId="0">
      <selection activeCell="I50" sqref="I50"/>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M_00.0004.000004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44867</v>
      </c>
      <c r="E25" s="255">
        <v>43575</v>
      </c>
      <c r="F25" s="255">
        <v>45180</v>
      </c>
      <c r="G25" s="256">
        <v>1</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43466</v>
      </c>
      <c r="D31" s="255">
        <v>43609</v>
      </c>
      <c r="E31" s="255">
        <v>43575</v>
      </c>
      <c r="F31" s="255">
        <v>43635</v>
      </c>
      <c r="G31" s="260">
        <v>1</v>
      </c>
      <c r="H31" s="260" t="s">
        <v>605</v>
      </c>
      <c r="I31" s="257">
        <v>0</v>
      </c>
      <c r="J31" s="257" t="s">
        <v>425</v>
      </c>
    </row>
    <row r="32" spans="1:12" x14ac:dyDescent="0.25">
      <c r="A32" s="257" t="s">
        <v>466</v>
      </c>
      <c r="B32" s="258" t="s">
        <v>467</v>
      </c>
      <c r="C32" s="255">
        <v>43609</v>
      </c>
      <c r="D32" s="255">
        <v>44070</v>
      </c>
      <c r="E32" s="255">
        <v>43695</v>
      </c>
      <c r="F32" s="255">
        <v>44070</v>
      </c>
      <c r="G32" s="260">
        <v>1</v>
      </c>
      <c r="H32" s="260" t="s">
        <v>605</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44867</v>
      </c>
      <c r="E35" s="255">
        <v>44867</v>
      </c>
      <c r="F35" s="255">
        <v>45180</v>
      </c>
      <c r="G35" s="260">
        <v>1</v>
      </c>
      <c r="H35" s="260" t="s">
        <v>605</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43949</v>
      </c>
      <c r="D37" s="255">
        <v>44190</v>
      </c>
      <c r="E37" s="255">
        <v>43635</v>
      </c>
      <c r="F37" s="255">
        <v>44190</v>
      </c>
      <c r="G37" s="260">
        <v>1</v>
      </c>
      <c r="H37" s="260" t="s">
        <v>605</v>
      </c>
      <c r="I37" s="257">
        <v>0</v>
      </c>
      <c r="J37" s="257" t="s">
        <v>425</v>
      </c>
    </row>
    <row r="38" spans="1:10" ht="31.5" x14ac:dyDescent="0.25">
      <c r="A38" s="252">
        <v>2</v>
      </c>
      <c r="B38" s="254" t="s">
        <v>503</v>
      </c>
      <c r="C38" s="255" t="s">
        <v>425</v>
      </c>
      <c r="D38" s="255" t="s">
        <v>425</v>
      </c>
      <c r="E38" s="255">
        <v>43817</v>
      </c>
      <c r="F38" s="255">
        <v>45442</v>
      </c>
      <c r="G38" s="261">
        <v>1</v>
      </c>
      <c r="H38" s="261">
        <v>1</v>
      </c>
      <c r="I38" s="257">
        <v>0</v>
      </c>
      <c r="J38" s="252" t="s">
        <v>425</v>
      </c>
    </row>
    <row r="39" spans="1:10" ht="31.5" x14ac:dyDescent="0.25">
      <c r="A39" s="262" t="s">
        <v>478</v>
      </c>
      <c r="B39" s="258" t="s">
        <v>479</v>
      </c>
      <c r="C39" s="255">
        <v>44562</v>
      </c>
      <c r="D39" s="255">
        <v>44669</v>
      </c>
      <c r="E39" s="255">
        <v>44924</v>
      </c>
      <c r="F39" s="255">
        <v>44984</v>
      </c>
      <c r="G39" s="263">
        <v>1</v>
      </c>
      <c r="H39" s="263" t="s">
        <v>605</v>
      </c>
      <c r="I39" s="257">
        <v>0</v>
      </c>
      <c r="J39" s="257" t="s">
        <v>425</v>
      </c>
    </row>
    <row r="40" spans="1:10" x14ac:dyDescent="0.25">
      <c r="A40" s="262" t="s">
        <v>480</v>
      </c>
      <c r="B40" s="258" t="s">
        <v>481</v>
      </c>
      <c r="C40" s="255">
        <v>43777</v>
      </c>
      <c r="D40" s="255">
        <v>44148</v>
      </c>
      <c r="E40" s="255">
        <v>43817</v>
      </c>
      <c r="F40" s="255">
        <v>45442</v>
      </c>
      <c r="G40" s="263">
        <v>1</v>
      </c>
      <c r="H40" s="263">
        <v>1</v>
      </c>
      <c r="I40" s="257">
        <v>0</v>
      </c>
      <c r="J40" s="257" t="s">
        <v>425</v>
      </c>
    </row>
    <row r="41" spans="1:10" x14ac:dyDescent="0.25">
      <c r="A41" s="252">
        <v>3</v>
      </c>
      <c r="B41" s="254" t="s">
        <v>482</v>
      </c>
      <c r="C41" s="255">
        <v>43830</v>
      </c>
      <c r="D41" s="255">
        <v>45284</v>
      </c>
      <c r="E41" s="255">
        <v>43829</v>
      </c>
      <c r="F41" s="255">
        <v>45495</v>
      </c>
      <c r="G41" s="261">
        <v>1</v>
      </c>
      <c r="H41" s="261">
        <v>1</v>
      </c>
      <c r="I41" s="257">
        <v>0</v>
      </c>
      <c r="J41" s="252" t="s">
        <v>425</v>
      </c>
    </row>
    <row r="42" spans="1:10" x14ac:dyDescent="0.25">
      <c r="A42" s="257" t="s">
        <v>483</v>
      </c>
      <c r="B42" s="258" t="s">
        <v>484</v>
      </c>
      <c r="C42" s="255">
        <v>44670</v>
      </c>
      <c r="D42" s="255">
        <v>45167</v>
      </c>
      <c r="E42" s="255">
        <v>45017</v>
      </c>
      <c r="F42" s="255">
        <v>45167</v>
      </c>
      <c r="G42" s="263">
        <v>1</v>
      </c>
      <c r="H42" s="263" t="s">
        <v>605</v>
      </c>
      <c r="I42" s="257">
        <v>0</v>
      </c>
      <c r="J42" s="257" t="s">
        <v>425</v>
      </c>
    </row>
    <row r="43" spans="1:10" x14ac:dyDescent="0.25">
      <c r="A43" s="257" t="s">
        <v>485</v>
      </c>
      <c r="B43" s="258" t="s">
        <v>486</v>
      </c>
      <c r="C43" s="255">
        <v>43830</v>
      </c>
      <c r="D43" s="255">
        <v>44193</v>
      </c>
      <c r="E43" s="255">
        <v>43829</v>
      </c>
      <c r="F43" s="255">
        <v>45472</v>
      </c>
      <c r="G43" s="263">
        <v>1</v>
      </c>
      <c r="H43" s="263">
        <v>1</v>
      </c>
      <c r="I43" s="257">
        <v>0</v>
      </c>
      <c r="J43" s="257" t="s">
        <v>425</v>
      </c>
    </row>
    <row r="44" spans="1:10" x14ac:dyDescent="0.25">
      <c r="A44" s="257" t="s">
        <v>487</v>
      </c>
      <c r="B44" s="258" t="s">
        <v>488</v>
      </c>
      <c r="C44" s="255">
        <v>44682</v>
      </c>
      <c r="D44" s="255">
        <v>45104</v>
      </c>
      <c r="E44" s="255">
        <v>45078</v>
      </c>
      <c r="F44" s="255">
        <v>45495</v>
      </c>
      <c r="G44" s="263" t="s">
        <v>605</v>
      </c>
      <c r="H44" s="263" t="s">
        <v>605</v>
      </c>
      <c r="I44" s="257">
        <v>0</v>
      </c>
      <c r="J44" s="257" t="s">
        <v>425</v>
      </c>
    </row>
    <row r="45" spans="1:10" ht="31.5" x14ac:dyDescent="0.25">
      <c r="A45" s="257" t="s">
        <v>489</v>
      </c>
      <c r="B45" s="258" t="s">
        <v>490</v>
      </c>
      <c r="C45" s="255">
        <v>45067</v>
      </c>
      <c r="D45" s="255">
        <v>45284</v>
      </c>
      <c r="E45" s="255">
        <v>45232</v>
      </c>
      <c r="F45" s="255">
        <v>45287</v>
      </c>
      <c r="G45" s="263">
        <v>1</v>
      </c>
      <c r="H45" s="263" t="s">
        <v>605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x14ac:dyDescent="0.25">
      <c r="A47" s="257" t="s">
        <v>493</v>
      </c>
      <c r="B47" s="258" t="s">
        <v>494</v>
      </c>
      <c r="C47" s="255">
        <v>45197</v>
      </c>
      <c r="D47" s="255">
        <v>45237</v>
      </c>
      <c r="E47" s="255">
        <v>45275</v>
      </c>
      <c r="F47" s="255">
        <v>45495</v>
      </c>
      <c r="G47" s="263" t="s">
        <v>605</v>
      </c>
      <c r="H47" s="263" t="s">
        <v>605</v>
      </c>
      <c r="I47" s="257">
        <v>0</v>
      </c>
      <c r="J47" s="257" t="s">
        <v>425</v>
      </c>
    </row>
    <row r="48" spans="1:10" x14ac:dyDescent="0.25">
      <c r="A48" s="252">
        <v>4</v>
      </c>
      <c r="B48" s="254" t="s">
        <v>495</v>
      </c>
      <c r="C48" s="255">
        <v>45089</v>
      </c>
      <c r="D48" s="255">
        <v>45290</v>
      </c>
      <c r="E48" s="255">
        <v>45128</v>
      </c>
      <c r="F48" s="255">
        <v>45506</v>
      </c>
      <c r="G48" s="261">
        <v>1</v>
      </c>
      <c r="H48" s="261">
        <v>1</v>
      </c>
      <c r="I48" s="257">
        <v>0</v>
      </c>
      <c r="J48" s="252" t="s">
        <v>425</v>
      </c>
    </row>
    <row r="49" spans="1:10" x14ac:dyDescent="0.25">
      <c r="A49" s="257" t="s">
        <v>496</v>
      </c>
      <c r="B49" s="258" t="s">
        <v>497</v>
      </c>
      <c r="C49" s="255">
        <v>45089</v>
      </c>
      <c r="D49" s="255">
        <v>45241</v>
      </c>
      <c r="E49" s="255">
        <v>45289</v>
      </c>
      <c r="F49" s="255">
        <v>45492</v>
      </c>
      <c r="G49" s="263" t="s">
        <v>605</v>
      </c>
      <c r="H49" s="263" t="s">
        <v>605</v>
      </c>
      <c r="I49" s="257">
        <v>0</v>
      </c>
      <c r="J49" s="257" t="s">
        <v>425</v>
      </c>
    </row>
    <row r="50" spans="1:10" ht="47.25" x14ac:dyDescent="0.25">
      <c r="A50" s="257" t="s">
        <v>498</v>
      </c>
      <c r="B50" s="258" t="s">
        <v>499</v>
      </c>
      <c r="C50" s="255" t="s">
        <v>425</v>
      </c>
      <c r="D50" s="255" t="s">
        <v>425</v>
      </c>
      <c r="E50" s="255">
        <v>45128</v>
      </c>
      <c r="F50" s="255">
        <v>45496</v>
      </c>
      <c r="G50" s="263" t="s">
        <v>605</v>
      </c>
      <c r="H50" s="263" t="s">
        <v>605</v>
      </c>
      <c r="I50" s="257" t="s">
        <v>606</v>
      </c>
      <c r="J50" s="257" t="s">
        <v>425</v>
      </c>
    </row>
    <row r="51" spans="1:10" ht="31.5" x14ac:dyDescent="0.25">
      <c r="A51" s="257" t="s">
        <v>500</v>
      </c>
      <c r="B51" s="258" t="s">
        <v>501</v>
      </c>
      <c r="C51" s="255">
        <v>45092</v>
      </c>
      <c r="D51" s="255">
        <v>45281</v>
      </c>
      <c r="E51" s="255">
        <v>45232</v>
      </c>
      <c r="F51" s="255">
        <v>45287</v>
      </c>
      <c r="G51" s="263">
        <v>1</v>
      </c>
      <c r="H51" s="263" t="s">
        <v>605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45281</v>
      </c>
      <c r="D53" s="255">
        <v>45290</v>
      </c>
      <c r="E53" s="255">
        <v>45289</v>
      </c>
      <c r="F53" s="255">
        <v>45506</v>
      </c>
      <c r="G53" s="263" t="s">
        <v>605</v>
      </c>
      <c r="H53" s="263" t="s">
        <v>605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2025-02-13T06:59:17Z</dcterms:modified>
</cp:coreProperties>
</file>