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93113CC-7F1B-4B8A-AC0A-7D7AE6D338E1}" xr6:coauthVersionLast="47" xr6:coauthVersionMax="47" xr10:uidLastSave="{00000000-0000-0000-0000-000000000000}"/>
  <bookViews>
    <workbookView xWindow="29730" yWindow="330"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80" i="5" l="1"/>
  <c r="AE70" i="5"/>
  <c r="AE51" i="5"/>
  <c r="AE77" i="5"/>
  <c r="AE81" i="5"/>
  <c r="AE74" i="5"/>
  <c r="AE84" i="5"/>
  <c r="AE46" i="5"/>
  <c r="AE38" i="5"/>
  <c r="AE44" i="5"/>
  <c r="AE36" i="5"/>
  <c r="AE41" i="5"/>
  <c r="AE29" i="5"/>
  <c r="AE42" i="5"/>
  <c r="AE34" i="5"/>
  <c r="AE55" i="5"/>
  <c r="AE6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<sst xmlns="http://schemas.openxmlformats.org/spreadsheetml/2006/main" count="4470" uniqueCount="574">
  <si>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</si>
  <si>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</si>
  <si>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</si>
  <si>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</si>
  <si>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</si>
  <si>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</si>
  <si>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</si>
  <si>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</si>
  <si>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</si>
  <si>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</si>
  <si>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</si>
  <si>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</si>
  <si>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</si>
  <si>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</si>
  <si>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</si>
  <si>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</si>
  <si>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</si>
  <si>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</si>
  <si>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</si>
  <si>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</si>
  <si>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</si>
  <si>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</si>
  <si>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</si>
  <si>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</si>
  <si>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</si>
  <si>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</si>
  <si>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</si>
  <si>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</si>
  <si>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</si>
  <si>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</si>
  <si>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</si>
  <si>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</si>
  <si>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</si>
  <si>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</si>
  <si>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</si>
  <si>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</si>
  <si>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</si>
  <si>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</si>
  <si>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</si>
  <si>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</si>
  <si>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</si>
  <si>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</si>
  <si>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</si>
  <si>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</si>
  <si>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</si>
  <si>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</si>
  <si>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</si>
  <si>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</si>
  <si>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</si>
  <si>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</si>
  <si>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</si>
  <si>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</si>
  <si>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</si>
  <si>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</si>
  <si>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</si>
  <si>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</si>
  <si>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</si>
  <si>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</si>
  <si>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</si>
  <si>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</si>
  <si>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</si>
  <si>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</si>
  <si>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</si>
  <si>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</si>
  <si>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</si>
  <si>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</si>
  <si>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</si>
  <si>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</si>
  <si>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</si>
  <si>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</si>
  <si>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</si>
  <si>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</si>
  <si>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</si>
  <si>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</si>
  <si>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</si>
  <si>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</si>
  <si>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</si>
  <si>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</si>
  <si>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</si>
  <si>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</si>
  <si>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</si>
  <si>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</si>
  <si>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</si>
  <si>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</si>
  <si>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</si>
  <si>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</si>
  <si>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</si>
  <si>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</si>
  <si>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</si>
  <si>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</si>
  <si>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</si>
  <si>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</si>
  <si>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</si>
  <si>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</si>
  <si>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</si>
  <si>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</si>
  <si>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</si>
  <si>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</si>
  <si>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</si>
  <si>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</si>
  <si>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</si>
  <si>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</si>
  <si>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</si>
  <si>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</si>
  <si>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</si>
  <si>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</si>
  <si>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</si>
  <si>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</si>
  <si>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</si>
  <si>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</si>
  <si>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</si>
  <si>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</si>
  <si>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</si>
  <si>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</si>
  <si>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</si>
  <si>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</si>
  <si>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</si>
  <si>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</si>
  <si>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</si>
  <si>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</si>
  <si>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</si>
  <si>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</si>
  <si>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</si>
  <si>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</si>
  <si>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</si>
  <si>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</si>
  <si>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</si>
  <si>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</si>
  <si>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</si>
  <si>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</si>
  <si>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</si>
  <si>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</si>
  <si>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</si>
  <si>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</si>
  <si>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</si>
  <si>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</si>
  <si>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</si>
  <si>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</si>
  <si>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</si>
  <si>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</si>
  <si>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</si>
  <si>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</si>
  <si>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</si>
  <si>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</si>
  <si>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</si>
  <si>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</si>
  <si>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</si>
  <si>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</si>
  <si>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</si>
  <si>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</si>
  <si>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</si>
  <si>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</si>
  <si>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</si>
  <si>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</si>
  <si>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</si>
  <si>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</si>
  <si>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</si>
  <si>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</si>
  <si>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</si>
  <si>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</si>
  <si>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</si>
  <si>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</si>
  <si>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</si>
  <si>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</si>
  <si>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</si>
  <si>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</si>
  <si>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</si>
  <si>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</si>
  <si>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</si>
  <si>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</si>
  <si>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</si>
  <si>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</si>
  <si>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</si>
  <si>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</si>
  <si>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</si>
  <si>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</si>
  <si>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</si>
  <si>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</si>
  <si>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</si>
  <si>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</si>
  <si>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</si>
  <si>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</si>
  <si>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</si>
  <si>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</si>
  <si>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</si>
  <si>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</si>
  <si>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</si>
  <si>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</si>
  <si>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</si>
  <si>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</si>
  <si>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</si>
  <si>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</si>
  <si>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</si>
  <si>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</si>
  <si>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</si>
  <si>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</si>
  <si>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</si>
  <si>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</si>
  <si>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</si>
  <si>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</si>
  <si>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</si>
  <si>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</si>
  <si>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</si>
  <si>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</si>
  <si>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</si>
  <si>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</si>
  <si>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</si>
  <si>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</si>
  <si>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</si>
  <si>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</si>
  <si>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</si>
  <si>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</si>
  <si>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</si>
  <si>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</si>
  <si>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</si>
  <si>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</si>
  <si>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</si>
  <si>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</si>
  <si>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</si>
  <si>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</si>
  <si>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</si>
  <si>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</si>
  <si>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</si>
  <si>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</si>
  <si>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</si>
  <si>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</si>
  <si>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</si>
  <si>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</si>
  <si>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</si>
  <si>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</si>
  <si>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</si>
  <si>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</si>
  <si>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</si>
  <si>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</si>
  <si>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</si>
  <si>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</si>
  <si>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</si>
  <si>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</si>
  <si>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</si>
  <si>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</si>
  <si>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</si>
  <si>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</si>
  <si>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</si>
  <si>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</si>
  <si>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</si>
  <si>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</si>
  <si>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</si>
  <si>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</si>
  <si>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</si>
  <si>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</si>
  <si>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</si>
  <si>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</si>
  <si>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</si>
  <si>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</si>
  <si>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</si>
  <si>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</si>
  <si>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</si>
  <si>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</si>
  <si>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</si>
  <si>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</si>
  <si>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</si>
  <si>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</si>
  <si>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</si>
  <si>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</si>
  <si>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</si>
  <si>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</si>
  <si>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</si>
  <si>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</si>
  <si>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</si>
  <si>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</si>
  <si>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</si>
  <si>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</si>
  <si>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</si>
  <si>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</si>
  <si>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</si>
  <si>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</si>
  <si>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</si>
  <si>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</si>
  <si>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</si>
  <si>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</si>
  <si>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</si>
  <si>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</si>
  <si>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</si>
  <si>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</si>
  <si>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</si>
  <si>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</si>
  <si>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</si>
  <si>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</si>
  <si>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</si>
  <si>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</si>
  <si>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</si>
  <si>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</si>
  <si>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</si>
  <si>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</si>
  <si>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</si>
  <si>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</si>
  <si>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</si>
  <si>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</si>
  <si>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</si>
  <si>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</si>
  <si>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</si>
  <si>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</si>
  <si>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</si>
  <si>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</si>
  <si>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</si>
  <si>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</si>
  <si>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</si>
  <si>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</si>
  <si>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</si>
  <si>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</si>
  <si>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</si>
  <si>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</si>
  <si>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</si>
  <si>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</si>
  <si>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</si>
  <si>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</si>
  <si>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</si>
  <si>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</si>
  <si>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</si>
  <si>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</si>
  <si>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</si>
  <si>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</si>
  <si>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</si>
  <si>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</si>
  <si>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</si>
  <si>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</si>
  <si>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</si>
  <si>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</si>
  <si>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</si>
  <si>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</si>
  <si>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</si>
  <si>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</si>
  <si>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</si>
  <si>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</si>
  <si>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</si>
  <si>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</si>
  <si>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</si>
  <si>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</si>
  <si>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</si>
  <si>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</si>
  <si>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</si>
  <si>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</si>
  <si>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</si>
  <si>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</si>
  <si>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</si>
  <si>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</si>
  <si>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</si>
  <si>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</si>
  <si>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</si>
  <si>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</si>
  <si>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</si>
  <si>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</si>
  <si>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</si>
  <si>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</si>
  <si>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</si>
  <si>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</si>
  <si>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</si>
  <si>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</si>
  <si>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</si>
  <si>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</si>
  <si>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</si>
  <si>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</si>
  <si>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</si>
  <si>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</si>
  <si>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</si>
  <si>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</si>
  <si>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</si>
  <si>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</si>
  <si>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</si>
  <si>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</si>
  <si>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</si>
  <si>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</si>
  <si>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</si>
  <si>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</si>
  <si>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</si>
  <si>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</si>
  <si>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</si>
  <si>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</si>
  <si>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</si>
  <si>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</si>
  <si>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</si>
  <si>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</si>
  <si>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</si>
  <si>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</si>
  <si>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</si>
  <si>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</si>
  <si>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</si>
  <si>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</si>
  <si>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</si>
  <si>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</si>
  <si>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</si>
  <si>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</si>
  <si>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</si>
  <si>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</si>
  <si>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</si>
  <si>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</si>
  <si>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</si>
  <si>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</si>
  <si>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</si>
  <si>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</si>
  <si>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</si>
  <si>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</si>
  <si>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</si>
  <si>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</si>
  <si>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</si>
  <si>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</si>
  <si>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</si>
  <si>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</si>
  <si>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</si>
  <si>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</si>
  <si>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</si>
  <si>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</si>
  <si>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</si>
  <si>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</si>
  <si>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</si>
  <si>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</si>
  <si>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</si>
  <si>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</si>
  <si>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</si>
  <si>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</si>
  <si>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</si>
  <si>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</si>
  <si>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</si>
  <si>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</si>
  <si>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</si>
  <si>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</si>
  <si>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</si>
  <si>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</si>
  <si>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</si>
  <si>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</si>
  <si>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</si>
  <si>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</si>
  <si>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</si>
  <si>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</si>
  <si>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</si>
  <si>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</si>
  <si>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</si>
  <si>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</si>
  <si>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</si>
  <si>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</si>
  <si>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</si>
  <si>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</si>
  <si>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</si>
  <si>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</si>
  <si>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</si>
  <si>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</si>
  <si>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</si>
  <si>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M_00.0011.000011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</si>
  <si>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</si>
  <si>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</si>
  <si>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</si>
  <si>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</si>
  <si>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</si>
  <si>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</si>
  <si>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</si>
  <si>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</si>
  <si>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</si>
  <si>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</si>
  <si>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</si>
  <si>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</si>
  <si>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</si>
  <si>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</si>
  <si>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</si>
  <si>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</si>
  <si>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</si>
  <si>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</si>
  <si>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</si>
  <si>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</si>
  <si>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</si>
  <si>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</si>
  <si>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</si>
  <si>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</si>
  <si>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</si>
  <si>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</si>
  <si>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</si>
  <si>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</si>
  <si>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</si>
  <si>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</si>
  <si>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</si>
  <si>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</si>
  <si>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</si>
  <si>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</si>
  <si>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</si>
  <si>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</si>
  <si>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</si>
  <si>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</si>
  <si>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</si>
  <si>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</si>
  <si>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</si>
  <si>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</si>
  <si>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</si>
  <si>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</si>
  <si>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</si>
  <si>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</si>
  <si>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</si>
  <si>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</si>
  <si>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</si>
  <si>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</si>
  <si>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</si>
  <si>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</si>
  <si>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</si>
  <si>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</si>
  <si>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</si>
  <si>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</si>
  <si>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</si>
  <si>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</si>
  <si>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</si>
  <si>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сложившейся экономией по факту выполненных работ, смещение сроков выполнения работ обусловлено низкой активностью подрядчика</t>
  </si>
  <si>
    <t>СМР, ПНР</t>
  </si>
  <si>
    <t>Выполнение строительно-монтажных и пусконаладочных работ по проекту "Реконструкция ПС 220 Дружная в части замены ячейки выключателя 220 кВ (В-257)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</si>
  <si>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</si>
  <si>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</si>
  <si>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</si>
  <si>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</si>
  <si>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</si>
  <si>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</si>
  <si>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</si>
  <si>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</si>
  <si>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</si>
  <si>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АО "РЭМиС"</t>
  </si>
  <si>
    <t>ИП-23-00030 от 28.02.2023</t>
  </si>
  <si>
    <t>ПИР</t>
  </si>
  <si>
    <t>Выполнение проектно-изыскательских работ по замене выключателя (В-257) ПС 220 Дружная</t>
  </si>
  <si>
    <t>Запрос предложений в электронной форме</t>
  </si>
  <si>
    <t>ОБЩЕСТВО С ОГРАНИЧЕННОЙ 
ОТВЕТСТВЕННОСТЬЮ "ИНСТИТУТ 
ПРОЕКТИРОВАНИЯ 
ЭНЕРГЕТИЧЕСКИХ СИСТЕМ"; ОБЩЕСТВО С ОГРАНИЧЕННОЙ 
ОТВЕТСТВЕННОСТЬЮ "ТЕХНО 
БАЗИС"; ОБЩЕСТВО С ОГРАНИЧЕННОЙ 
ОТВЕТСТВЕННОСТЬЮ "АРСИСПРО"
Н; Общество с ограниченной ответственностью "Электроуралналадка"; Общество с ограниченной ответственностью "Проектный Центр Сибири"; ОБЩЕСТВО С ОГРАНИЧЕННОЙ 
ОТВЕТСТВЕННОСТЬЮ 
"ЭНЕРГОПРОЕКТ ЦЕНТР"; АКЦИОНЕРНОЕ ОБЩЕСТВО 
"ЧЕБОКСАРСКИЙ 
ЭЛЕКТРОАППАРАТНЫЙ ЗАВОД"; ОБЩЕСТВО С ОГРАНИЧЕННОЙ 
ОТВЕТСТВЕННОСТЬЮ 
"ВЕЛЛЭНЕРДЖИ"; ОБЩЕСТВО С ОГРАНИЧЕННОЙ 
ОТВЕТСТВЕННОСТЬЮ 
"СИБЭНЕРГОТЕХСЕРВИС"; ОБЩЕСТВО С ОГРАНИЧЕННОЙ 
ОТВЕТСТВЕННОСТЬЮ "НАУЧНЫЙ 
ЭЛЕКТРО - ЭНЕРГЕТИЧЕСКИЙ 
ПРОЕКТНЫЙ ИНСТИТУТ"; ОБЩЕСТВО С ОГРАНИЧЕННОЙ 
ОТВЕТСТВЕННОСТЬЮ 
"КРАСНОЯРСКСТРОЙЭЛЕКТРОПРОЕ 
КТ"; ОБЩЕСТВО С ОГРАНИЧЕННОЙ 
ОТВЕТСТВЕННОСТЬЮ 
"КОМПЛЕКСЭНЕРГОПРОЕКТ"; Общество с ограниченной ответственностью "Инженерный Проектный Центр"; Индивидуальный предприниматель АНДРЕЕВ АНДРЕЙ 
ВЛАДИМИРОВИЧ</t>
  </si>
  <si>
    <t>2110,00; 1757,50; 1900,00; 1950,00; 2323,19; 1760,00; 2250,00; 2340, 19; 2108,87; 1874,55; 1850,00; 2000,00; 2343,19; 2340,00</t>
  </si>
  <si>
    <t>ОБЩЕСТВО С ОГРАНИЧЕННОЙ 
ОТВЕТСТВЕННОСТЬЮ "ТЕХНО 
БАЗИС"; ОБЩЕСТВО С ОГРАНИЧЕННОЙ 
ОТВЕТСТВЕННОСТЬЮ "АРСИСПРО"
Н; Общество с ограниченной ответственностью "Электроуралналадка"; ОБЩЕСТВО С ОГРАНИЧЕННОЙ 
ОТВЕТСТВЕННОСТЬЮ 
"ЭНЕРГОПРОЕКТ ЦЕНТР"; АКЦИОНЕРНОЕ ОБЩЕСТВО 
"ЧЕБОКСАРСКИЙ 
ЭЛЕКТРОАППАРАТНЫЙ ЗАВОД"; ОБЩЕСТВО С ОГРАНИЧЕННОЙ 
ОТВЕТСТВЕННОСТЬЮ 
"ВЕЛЛЭНЕРДЖИ"; ОБЩЕСТВО С ОГРАНИЧЕННОЙ 
ОТВЕТСТВЕННОСТЬЮ 
"СИБЭНЕРГОТЕХСЕРВИС"; ОБЩЕСТВО С ОГРАНИЧЕННОЙ 
ОТВЕТСТВЕННОСТЬЮ "НАУЧНЫЙ 
ЭЛЕКТРО - ЭНЕРГЕТИЧЕСКИЙ 
ПРОЕКТНЫЙ ИНСТИТУТ"; ОБЩЕСТВО С ОГРАНИЧЕННОЙ 
ОТВЕТСТВЕННОСТЬЮ 
"КРАСНОЯРСКСТРОЙЭЛЕКТРОПРОЕ 
КТ"; ОБЩЕСТВО С ОГРАНИЧЕННОЙ 
ОТВЕТСТВЕННОСТЬЮ 
"КОМПЛЕКСЭНЕРГОПРОЕКТ"; Общество с ограниченной ответственностью "Инженерный Проектный Центр"; Индивидуальный предприниматель АНДРЕЕВ АНДРЕЙ 
ВЛАДИМИРОВИЧ</t>
  </si>
  <si>
    <t>2110,00; -; -; -;  2150,00; -; -; -; -; -; -; -; -; -; -</t>
  </si>
  <si>
    <t>ООО  "ИНСТИТУТ ПРОЕКТИРОВАНИЯ ЭНЕРГЕТИЧЕСКИХ СИСТЕМ"</t>
  </si>
  <si>
    <t>https://www.roseltorg.ru/</t>
  </si>
  <si>
    <t>ИП-20-00070 от 20.03.2020</t>
  </si>
  <si>
    <t>ТМЦ</t>
  </si>
  <si>
    <t>Поставка разъединителей 110-220 кВ</t>
  </si>
  <si>
    <t>Аукцион в электронной форме</t>
  </si>
  <si>
    <t>ООО «ИЦС»</t>
  </si>
  <si>
    <t>ПД</t>
  </si>
  <si>
    <t>Общество с ограниченной ответственностью "Инженерный центр Сибири"</t>
  </si>
  <si>
    <t>ПД-23-00052 от 14.03.2023</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</si>
  <si>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</si>
  <si>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</si>
  <si>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</si>
  <si>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</si>
  <si>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</si>
  <si>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</si>
  <si>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</si>
  <si>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</si>
  <si>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ИП-20-00157 от 16.06.2020</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</si>
  <si>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</si>
  <si>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</si>
  <si>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</si>
  <si>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789 от 02.11.2022; 
№ 789/1 от 11.09.2023</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</si>
  <si>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</si>
  <si>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</si>
  <si>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</si>
  <si>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</si>
  <si>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</si>
  <si>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</si>
  <si>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</si>
  <si>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Дружная</t>
  </si>
  <si>
    <t>61952,94 тыс. руб. с НДС на 1 выключатель 220 кВ</t>
  </si>
  <si>
    <t>1 этап 1-го пускового комплекса - замена ячейки выключателя В-257;
1 этап 2-го пускового комплекса - замена разъединителей, устройств РЗА ячейки выключателя В-257.</t>
  </si>
  <si>
    <t>1.Объект включён в инвестиционную программу на основании оценки технического состояния, подтвержденный индексом технического состояния (ИТС:63)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ПС-4/09-2020 от 30.06.2020.</t>
  </si>
  <si>
    <t>С</t>
  </si>
  <si>
    <t>Сибирский Федеральный округ, Новосибирская область, Коченевский район п. Дружный</t>
  </si>
  <si>
    <t>У-220-1000/2000-25У1</t>
  </si>
  <si>
    <t>Элегазовый выключатель</t>
  </si>
  <si>
    <t>В-257</t>
  </si>
  <si>
    <t xml:space="preserve">Акт № ПС-4/09-2020 от 30.06.2020 технического освидетельствования ПС 220 кВ Дружная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</si>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</sst>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B11" sqref="B11"/>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572</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547</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548</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551</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552</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552</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552</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552</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552</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553</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552</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552</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552</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552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555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M_00.0011.000011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62.469869593239011</v>
      </c>
      <c r="D24" s="279">
        <f t="shared" si="0"/>
        <v>61.952935267555944</v>
      </c>
      <c r="E24" s="284">
        <f t="shared" si="0"/>
        <v>1.5717731553101753</v>
      </c>
      <c r="F24" s="284">
        <f t="shared" si="0"/>
        <v>0</v>
      </c>
      <c r="G24" s="267">
        <f t="shared" si="0"/>
        <v>1.5717731553101753</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52.34752052153825</v>
      </c>
      <c r="D27" s="279">
        <v>51.830658529952089</v>
      </c>
      <c r="E27" s="285">
        <f>J27+N27+G27+P27+T27+X27</f>
        <v>1.5717731553101753</v>
      </c>
      <c r="F27" s="285">
        <f t="shared" si="8"/>
        <v>0</v>
      </c>
      <c r="G27" s="267">
        <v>1.5717731553101753</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569</v>
      </c>
      <c r="J28" s="280">
        <v>0</v>
      </c>
      <c r="K28" s="281" t="s">
        <v>569</v>
      </c>
      <c r="L28" s="266">
        <v>0</v>
      </c>
      <c r="M28" s="268" t="s">
        <v>569</v>
      </c>
      <c r="N28" s="280">
        <v>0</v>
      </c>
      <c r="O28" s="281" t="s">
        <v>569</v>
      </c>
      <c r="P28" s="154">
        <v>0</v>
      </c>
      <c r="Q28" s="154" t="s">
        <v>569</v>
      </c>
      <c r="R28" s="280">
        <v>0</v>
      </c>
      <c r="S28" s="281">
        <v>0</v>
      </c>
      <c r="T28" s="154">
        <v>0</v>
      </c>
      <c r="U28" s="154" t="s">
        <v>569</v>
      </c>
      <c r="V28" s="280">
        <v>0</v>
      </c>
      <c r="W28" s="281">
        <v>0</v>
      </c>
      <c r="X28" s="154">
        <v>0</v>
      </c>
      <c r="Y28" s="154" t="s">
        <v>569</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569</v>
      </c>
      <c r="J29" s="280">
        <v>0</v>
      </c>
      <c r="K29" s="281" t="s">
        <v>569</v>
      </c>
      <c r="L29" s="266">
        <v>0</v>
      </c>
      <c r="M29" s="268" t="s">
        <v>569</v>
      </c>
      <c r="N29" s="280">
        <v>0</v>
      </c>
      <c r="O29" s="281" t="s">
        <v>569</v>
      </c>
      <c r="P29" s="154">
        <v>0</v>
      </c>
      <c r="Q29" s="288" t="s">
        <v>569</v>
      </c>
      <c r="R29" s="280">
        <v>0</v>
      </c>
      <c r="S29" s="281">
        <v>0</v>
      </c>
      <c r="T29" s="154">
        <v>0</v>
      </c>
      <c r="U29" s="154" t="s">
        <v>569</v>
      </c>
      <c r="V29" s="280">
        <v>0</v>
      </c>
      <c r="W29" s="281">
        <v>0</v>
      </c>
      <c r="X29" s="154">
        <v>0</v>
      </c>
      <c r="Y29" s="154" t="s">
        <v>569</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569</v>
      </c>
      <c r="J30" s="280">
        <v>0</v>
      </c>
      <c r="K30" s="281" t="s">
        <v>569</v>
      </c>
      <c r="L30" s="266">
        <v>0</v>
      </c>
      <c r="M30" s="268" t="s">
        <v>569</v>
      </c>
      <c r="N30" s="280">
        <v>0</v>
      </c>
      <c r="O30" s="281" t="s">
        <v>569</v>
      </c>
      <c r="P30" s="154">
        <v>0</v>
      </c>
      <c r="Q30" s="154" t="s">
        <v>569</v>
      </c>
      <c r="R30" s="280">
        <v>0</v>
      </c>
      <c r="S30" s="281">
        <v>0</v>
      </c>
      <c r="T30" s="154">
        <v>0</v>
      </c>
      <c r="U30" s="154" t="s">
        <v>569</v>
      </c>
      <c r="V30" s="280">
        <v>0</v>
      </c>
      <c r="W30" s="281">
        <v>0</v>
      </c>
      <c r="X30" s="154">
        <v>0</v>
      </c>
      <c r="Y30" s="154" t="s">
        <v>569</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569</v>
      </c>
      <c r="J31" s="280">
        <v>0</v>
      </c>
      <c r="K31" s="281" t="s">
        <v>569</v>
      </c>
      <c r="L31" s="266">
        <v>0</v>
      </c>
      <c r="M31" s="268" t="s">
        <v>569</v>
      </c>
      <c r="N31" s="280">
        <v>0</v>
      </c>
      <c r="O31" s="281" t="s">
        <v>569</v>
      </c>
      <c r="P31" s="154">
        <v>0</v>
      </c>
      <c r="Q31" s="154" t="s">
        <v>569</v>
      </c>
      <c r="R31" s="280">
        <v>0</v>
      </c>
      <c r="S31" s="281">
        <v>0</v>
      </c>
      <c r="T31" s="154">
        <v>0</v>
      </c>
      <c r="U31" s="154" t="s">
        <v>569</v>
      </c>
      <c r="V31" s="280">
        <v>0</v>
      </c>
      <c r="W31" s="281">
        <v>0</v>
      </c>
      <c r="X31" s="154">
        <v>0</v>
      </c>
      <c r="Y31" s="154" t="s">
        <v>569</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10.122349071700759</v>
      </c>
      <c r="D33" s="280">
        <v>10.122276737603853</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52.347943208782119</v>
      </c>
      <c r="D34" s="279">
        <f t="shared" ref="D34:G34" si="19">SUM(D35:D38)</f>
        <v>51.85114126117189</v>
      </c>
      <c r="E34" s="285">
        <f t="shared" ref="E34" si="20">J34+N34+G34+P34+T34+X34</f>
        <v>1.3179628011718934</v>
      </c>
      <c r="F34" s="279">
        <f t="shared" si="19"/>
        <v>0</v>
      </c>
      <c r="G34" s="267">
        <f t="shared" si="19"/>
        <v>1.3179628011718934</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2.11</v>
      </c>
      <c r="D35" s="280">
        <v>2.11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12.668108544334327</v>
      </c>
      <c r="D36" s="280">
        <v>18.301186376569142</v>
      </c>
      <c r="E36" s="285">
        <f>J36+N36+G36+P36+T36+X36</f>
        <v>0.90369565656914186</v>
      </c>
      <c r="F36" s="285">
        <f t="shared" ref="F36:F37" si="30">E36-G36</f>
        <v>0</v>
      </c>
      <c r="G36" s="266">
        <v>0.90369565656914186</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32.211938354532734</v>
      </c>
      <c r="D37" s="280">
        <v>26.901195510000001</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5.3578963099150529</v>
      </c>
      <c r="D38" s="280">
        <v>4.5387593746027504</v>
      </c>
      <c r="E38" s="285">
        <f>J38+N38+G38+P38+T38+X38</f>
        <v>0.41426714460275149</v>
      </c>
      <c r="F38" s="285">
        <f>E38-G38</f>
        <v>0</v>
      </c>
      <c r="G38" s="266">
        <v>0.41426714460275149</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52.347943208782119</v>
      </c>
      <c r="D56" s="280">
        <v>51.851141261171904</v>
      </c>
      <c r="E56" s="285">
        <f t="shared" ref="E56:E61" si="36">J56+N56+G56+P56+T56+X56</f>
        <v>3.8351122011719054</v>
      </c>
      <c r="F56" s="280">
        <f t="shared" si="33"/>
        <v>0</v>
      </c>
      <c r="G56" s="266">
        <v>3.8351122011719054</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3" zoomScale="80" zoomScaleSheetLayoutView="80" workbookViewId="0">
      <selection activeCell="AX2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M_00.0011.000011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570</v>
      </c>
      <c r="AY22" s="465" t="s">
        <v>571</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45199</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140718.18521999998</v>
      </c>
      <c r="Q26" s="177" t="s">
        <v>425</v>
      </c>
      <c r="R26" s="179">
        <f>SUM(R27:R86)</f>
        <v>140718.18521999998</v>
      </c>
      <c r="S26" s="177" t="s">
        <v>425</v>
      </c>
      <c r="T26" s="177" t="s">
        <v>425</v>
      </c>
      <c r="U26" s="177" t="s">
        <v>425</v>
      </c>
      <c r="V26" s="177" t="s">
        <v>425</v>
      </c>
      <c r="W26" s="177" t="s">
        <v>425</v>
      </c>
      <c r="X26" s="177" t="s">
        <v>425</v>
      </c>
      <c r="Y26" s="177" t="s">
        <v>425</v>
      </c>
      <c r="Z26" s="177" t="s">
        <v>425</v>
      </c>
      <c r="AA26" s="177" t="s">
        <v>425</v>
      </c>
      <c r="AB26" s="179">
        <f>SUM(AB27:AB86)</f>
        <v>139678</v>
      </c>
      <c r="AC26" s="177" t="s">
        <v>425</v>
      </c>
      <c r="AD26" s="179">
        <f>SUM(AD27:AD86)</f>
        <v>86073.336627461715</v>
      </c>
      <c r="AE26" s="179">
        <f>SUM(AE27:AE86)</f>
        <v>25501.612467461724</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50476.43679</v>
      </c>
      <c r="AY26" s="179">
        <f t="shared" si="46"/>
        <v>60571.724159999998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17571</v>
      </c>
      <c r="Q27" s="214" t="s">
        <v>511</v>
      </c>
      <c r="R27" s="215">
        <v>17571</v>
      </c>
      <c r="S27" s="214" t="s">
        <v>512</v>
      </c>
      <c r="T27" s="214" t="s">
        <v>512</v>
      </c>
      <c r="U27" s="214">
        <v>3</v>
      </c>
      <c r="V27" s="214">
        <v>1</v>
      </c>
      <c r="W27" s="214" t="s">
        <v>513</v>
      </c>
      <c r="X27" s="214">
        <v>17571</v>
      </c>
      <c r="Y27" s="214" t="s">
        <v>514</v>
      </c>
      <c r="Z27" s="214">
        <v>1</v>
      </c>
      <c r="AA27" s="214">
        <v>17571</v>
      </c>
      <c r="AB27" s="215">
        <v>17571</v>
      </c>
      <c r="AC27" s="214" t="s">
        <v>513</v>
      </c>
      <c r="AD27" s="215">
        <v>21085.200000000001</v>
      </c>
      <c r="AE27" s="291">
        <f>IF(IFERROR(AD27-AY27,"нд")&lt;0,0,IFERROR(AD27-AY27,"нд"))</f>
        <v>159.85619000000224</v>
      </c>
      <c r="AF27" s="214">
        <v>32212009337</v>
      </c>
      <c r="AG27" s="214" t="s">
        <v>515</v>
      </c>
      <c r="AH27" s="214" t="s">
        <v>516</v>
      </c>
      <c r="AI27" s="216">
        <v>44926</v>
      </c>
      <c r="AJ27" s="216">
        <v>44924</v>
      </c>
      <c r="AK27" s="216">
        <v>44958</v>
      </c>
      <c r="AL27" s="216">
        <v>44965</v>
      </c>
      <c r="AM27" s="214" t="s">
        <v>425</v>
      </c>
      <c r="AN27" s="214" t="s">
        <v>425</v>
      </c>
      <c r="AO27" s="214" t="s">
        <v>425</v>
      </c>
      <c r="AP27" s="214" t="s">
        <v>425</v>
      </c>
      <c r="AQ27" s="216">
        <v>44985</v>
      </c>
      <c r="AR27" s="216">
        <v>44985</v>
      </c>
      <c r="AS27" s="216">
        <v>44985</v>
      </c>
      <c r="AT27" s="216">
        <v>44985</v>
      </c>
      <c r="AU27" s="216">
        <v>45273</v>
      </c>
      <c r="AV27" s="214" t="s">
        <v>425</v>
      </c>
      <c r="AW27" s="214" t="s">
        <v>425</v>
      </c>
      <c r="AX27" s="217">
        <v>17437.786499999998</v>
      </c>
      <c r="AY27" s="217">
        <v>20925.343809999998</v>
      </c>
      <c r="AZ27" s="215" t="s">
        <v>517</v>
      </c>
      <c r="BA27" s="215" t="s">
        <v>518</v>
      </c>
      <c r="BB27" s="215" t="s">
        <v>519</v>
      </c>
      <c r="BC27" s="215" t="s">
        <v>520</v>
      </c>
      <c r="BD27" s="215" t="str">
        <f>CONCATENATE(BB27,", ",BA27,", ",N27,", ","договор № ",BC27)</f>
        <v>АО "РЭМиС", СМР, Выполнение строительно-монтажных и пусконаладочных работ по проекту "Реконструкция ПС 220 Дружная в части замены ячейки выключателя 220 кВ (В-257) с выполнением сопутствующего объема работ", договор № ИП-23-00030 от 28.02.2023</v>
      </c>
    </row>
    <row r="28" spans="1:56" s="218" customFormat="1" ht="409.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510</v>
      </c>
      <c r="P28" s="215">
        <v>2343.1852199999998</v>
      </c>
      <c r="Q28" s="214" t="s">
        <v>511</v>
      </c>
      <c r="R28" s="215">
        <v>2343.1852199999998</v>
      </c>
      <c r="S28" s="214" t="s">
        <v>523</v>
      </c>
      <c r="T28" s="214" t="s">
        <v>523</v>
      </c>
      <c r="U28" s="214">
        <v>2</v>
      </c>
      <c r="V28" s="214">
        <v>14</v>
      </c>
      <c r="W28" s="214" t="s">
        <v>524</v>
      </c>
      <c r="X28" s="214" t="s">
        <v>525</v>
      </c>
      <c r="Y28" s="214" t="s">
        <v>526</v>
      </c>
      <c r="Z28" s="214">
        <v>1</v>
      </c>
      <c r="AA28" s="214" t="s">
        <v>527</v>
      </c>
      <c r="AB28" s="215">
        <v>2110</v>
      </c>
      <c r="AC28" s="214" t="s">
        <v>528</v>
      </c>
      <c r="AD28" s="215">
        <v>2532</v>
      </c>
      <c r="AE28" s="291">
        <f t="shared" ref="AE28:AE86" si="49">IF(IFERROR(AD28-AY28,"нд")&lt;0,0,IFERROR(AD28-AY28,"нд"))</f>
        <v>0</v>
      </c>
      <c r="AF28" s="214">
        <v>32008825370</v>
      </c>
      <c r="AG28" s="214" t="s">
        <v>515</v>
      </c>
      <c r="AH28" s="214" t="s">
        <v>529</v>
      </c>
      <c r="AI28" s="216">
        <v>43861</v>
      </c>
      <c r="AJ28" s="216">
        <v>43861</v>
      </c>
      <c r="AK28" s="216">
        <v>43875</v>
      </c>
      <c r="AL28" s="216">
        <v>43889</v>
      </c>
      <c r="AM28" s="214" t="s">
        <v>425</v>
      </c>
      <c r="AN28" s="214" t="s">
        <v>425</v>
      </c>
      <c r="AO28" s="214" t="s">
        <v>425</v>
      </c>
      <c r="AP28" s="214" t="s">
        <v>425</v>
      </c>
      <c r="AQ28" s="216">
        <v>43909</v>
      </c>
      <c r="AR28" s="216">
        <v>43910</v>
      </c>
      <c r="AS28" s="216">
        <v>43909</v>
      </c>
      <c r="AT28" s="216">
        <v>43909</v>
      </c>
      <c r="AU28" s="216">
        <v>44329</v>
      </c>
      <c r="AV28" s="214" t="s">
        <v>425</v>
      </c>
      <c r="AW28" s="214" t="s">
        <v>425</v>
      </c>
      <c r="AX28" s="215">
        <v>2110</v>
      </c>
      <c r="AY28" s="215">
        <v>2532</v>
      </c>
      <c r="AZ28" s="215" t="s">
        <v>517</v>
      </c>
      <c r="BA28" s="215" t="s">
        <v>521</v>
      </c>
      <c r="BB28" s="215" t="s">
        <v>528</v>
      </c>
      <c r="BC28" s="215" t="s">
        <v>530</v>
      </c>
      <c r="BD28" s="215" t="str">
        <f t="shared" ref="BD28:BD86" si="50">CONCATENATE(BB28,", ",BA28,", ",N28,", ","договор № ",BC28)</f>
        <v>ООО  "ИНСТИТУТ ПРОЕКТИРОВАНИЯ ЭНЕРГЕТИЧЕСКИХ СИСТЕМ", ПИР, Выполнение проектно-изыскательских работ по замене выключателя (В-257) ПС 220 Дружная, договор № ИП-20-00070 от 20.03.2020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531</v>
      </c>
      <c r="N29" s="214" t="s">
        <v>532</v>
      </c>
      <c r="O29" s="214" t="s">
        <v>510</v>
      </c>
      <c r="P29" s="215">
        <v>80304.5</v>
      </c>
      <c r="Q29" s="214" t="s">
        <v>511</v>
      </c>
      <c r="R29" s="215">
        <v>80304.5</v>
      </c>
      <c r="S29" s="214" t="s">
        <v>533</v>
      </c>
      <c r="T29" s="214" t="s">
        <v>533</v>
      </c>
      <c r="U29" s="214">
        <v>3</v>
      </c>
      <c r="V29" s="214">
        <v>1</v>
      </c>
      <c r="W29" s="214" t="s">
        <v>534</v>
      </c>
      <c r="X29" s="214">
        <v>79497.5</v>
      </c>
      <c r="Y29" s="214" t="s">
        <v>534</v>
      </c>
      <c r="Z29" s="214" t="s">
        <v>425</v>
      </c>
      <c r="AA29" s="214">
        <v>79497.5</v>
      </c>
      <c r="AB29" s="215">
        <v>79497.5</v>
      </c>
      <c r="AC29" s="214" t="s">
        <v>534</v>
      </c>
      <c r="AD29" s="215">
        <v>13856.736627461718</v>
      </c>
      <c r="AE29" s="291">
        <f t="shared" si="49"/>
        <v>49.536627461717217</v>
      </c>
      <c r="AF29" s="214">
        <v>32312047397</v>
      </c>
      <c r="AG29" s="214" t="s">
        <v>515</v>
      </c>
      <c r="AH29" s="214" t="s">
        <v>516</v>
      </c>
      <c r="AI29" s="216">
        <v>44957</v>
      </c>
      <c r="AJ29" s="216">
        <v>44946</v>
      </c>
      <c r="AK29" s="216">
        <v>44963</v>
      </c>
      <c r="AL29" s="216">
        <v>44979</v>
      </c>
      <c r="AM29" s="214" t="s">
        <v>425</v>
      </c>
      <c r="AN29" s="214" t="s">
        <v>425</v>
      </c>
      <c r="AO29" s="214" t="s">
        <v>425</v>
      </c>
      <c r="AP29" s="214" t="s">
        <v>425</v>
      </c>
      <c r="AQ29" s="216">
        <v>44999</v>
      </c>
      <c r="AR29" s="216">
        <v>44982</v>
      </c>
      <c r="AS29" s="216">
        <v>44999</v>
      </c>
      <c r="AT29" s="216">
        <v>44982</v>
      </c>
      <c r="AU29" s="216">
        <v>45061</v>
      </c>
      <c r="AV29" s="214" t="s">
        <v>425</v>
      </c>
      <c r="AW29" s="214" t="s">
        <v>425</v>
      </c>
      <c r="AX29" s="215">
        <v>11506</v>
      </c>
      <c r="AY29" s="215">
        <v>13807.2</v>
      </c>
      <c r="AZ29" s="215" t="s">
        <v>535</v>
      </c>
      <c r="BA29" s="215" t="s">
        <v>531</v>
      </c>
      <c r="BB29" s="215" t="s">
        <v>536</v>
      </c>
      <c r="BC29" s="215" t="s">
        <v>537</v>
      </c>
      <c r="BD29" s="215" t="str">
        <f t="shared" si="50"/>
        <v>Общество с ограниченной ответственностью "Инженерный центр Сибири", ТМЦ, Поставка разъединителей 110-220 кВ, договор № ПД-23-00052 от 14.03.2023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538</v>
      </c>
      <c r="N30" s="214" t="s">
        <v>539</v>
      </c>
      <c r="O30" s="214" t="s">
        <v>510</v>
      </c>
      <c r="P30" s="215">
        <v>40499.5</v>
      </c>
      <c r="Q30" s="214" t="s">
        <v>511</v>
      </c>
      <c r="R30" s="215">
        <v>40499.5</v>
      </c>
      <c r="S30" s="214" t="s">
        <v>540</v>
      </c>
      <c r="T30" s="214" t="s">
        <v>540</v>
      </c>
      <c r="U30" s="214" t="s">
        <v>425</v>
      </c>
      <c r="V30" s="214" t="s">
        <v>425</v>
      </c>
      <c r="W30" s="214" t="s">
        <v>425</v>
      </c>
      <c r="X30" s="214" t="s">
        <v>425</v>
      </c>
      <c r="Y30" s="214" t="s">
        <v>425</v>
      </c>
      <c r="Z30" s="214" t="s">
        <v>425</v>
      </c>
      <c r="AA30" s="214" t="s">
        <v>425</v>
      </c>
      <c r="AB30" s="215">
        <v>40499.5</v>
      </c>
      <c r="AC30" s="214" t="s">
        <v>541</v>
      </c>
      <c r="AD30" s="215">
        <v>48599.4</v>
      </c>
      <c r="AE30" s="291">
        <f t="shared" si="49"/>
        <v>25292.219650000003</v>
      </c>
      <c r="AF30" s="214" t="s">
        <v>425</v>
      </c>
      <c r="AG30" s="214" t="s">
        <v>542</v>
      </c>
      <c r="AH30" s="214" t="s">
        <v>425</v>
      </c>
      <c r="AI30" s="216" t="s">
        <v>425</v>
      </c>
      <c r="AJ30" s="216" t="s">
        <v>425</v>
      </c>
      <c r="AK30" s="216" t="s">
        <v>425</v>
      </c>
      <c r="AL30" s="216" t="s">
        <v>425</v>
      </c>
      <c r="AM30" s="214" t="s">
        <v>543</v>
      </c>
      <c r="AN30" s="214" t="s">
        <v>544</v>
      </c>
      <c r="AO30" s="214">
        <v>43997</v>
      </c>
      <c r="AP30" s="214" t="s">
        <v>545</v>
      </c>
      <c r="AQ30" s="216">
        <v>44039</v>
      </c>
      <c r="AR30" s="216">
        <v>43998</v>
      </c>
      <c r="AS30" s="216">
        <v>44039</v>
      </c>
      <c r="AT30" s="216">
        <v>44039</v>
      </c>
      <c r="AU30" s="216">
        <v>44560</v>
      </c>
      <c r="AV30" s="214" t="s">
        <v>425</v>
      </c>
      <c r="AW30" s="214" t="s">
        <v>425</v>
      </c>
      <c r="AX30" s="215">
        <v>19422.650290000001</v>
      </c>
      <c r="AY30" s="215">
        <v>23307.180349999999</v>
      </c>
      <c r="AZ30" s="215" t="s">
        <v>517</v>
      </c>
      <c r="BA30" s="215" t="s">
        <v>518</v>
      </c>
      <c r="BB30" s="215" t="s">
        <v>519</v>
      </c>
      <c r="BC30" s="215" t="s">
        <v>546</v>
      </c>
      <c r="BD30" s="215" t="str">
        <f t="shared" si="50"/>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M_00.0011.000011</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558</v>
      </c>
    </row>
    <row r="22" spans="1:2" x14ac:dyDescent="0.25">
      <c r="A22" s="157" t="s">
        <v>306</v>
      </c>
      <c r="B22" s="157" t="s">
        <v>563</v>
      </c>
    </row>
    <row r="23" spans="1:2" x14ac:dyDescent="0.25">
      <c r="A23" s="157" t="s">
        <v>288</v>
      </c>
      <c r="B23" s="157" t="s">
        <v>549</v>
      </c>
    </row>
    <row r="24" spans="1:2" x14ac:dyDescent="0.25">
      <c r="A24" s="157" t="s">
        <v>307</v>
      </c>
      <c r="B24" s="157" t="s">
        <v>425</v>
      </c>
    </row>
    <row r="25" spans="1:2" x14ac:dyDescent="0.25">
      <c r="A25" s="158" t="s">
        <v>308</v>
      </c>
      <c r="B25" s="175">
        <v>45199</v>
      </c>
    </row>
    <row r="26" spans="1:2" x14ac:dyDescent="0.25">
      <c r="A26" s="158" t="s">
        <v>309</v>
      </c>
      <c r="B26" s="160" t="s">
        <v>562</v>
      </c>
    </row>
    <row r="27" spans="1:2" x14ac:dyDescent="0.25">
      <c r="A27" s="160" t="str">
        <f>CONCATENATE("Стоимость проекта в прогнозных ценах, млн. руб. с НДС")</f>
        <v>Стоимость проекта в прогнозных ценах, млн. руб. с НДС</v>
      </c>
      <c r="B27" s="171">
        <v>61.952935267555944</v>
      </c>
    </row>
    <row r="28" spans="1:2" ht="93.75" customHeight="1" x14ac:dyDescent="0.25">
      <c r="A28" s="159" t="s">
        <v>310</v>
      </c>
      <c r="B28" s="162" t="s">
        <v>550</v>
      </c>
    </row>
    <row r="29" spans="1:2" ht="28.5" x14ac:dyDescent="0.25">
      <c r="A29" s="160" t="s">
        <v>311</v>
      </c>
      <c r="B29" s="171">
        <f>'7. Паспорт отчет о закупке'!$AB$26*1.2/1000</f>
        <v>167.61360000000002</v>
      </c>
    </row>
    <row r="30" spans="1:2" ht="28.5" x14ac:dyDescent="0.25">
      <c r="A30" s="160" t="s">
        <v>312</v>
      </c>
      <c r="B30" s="171">
        <f>'7. Паспорт отчет о закупке'!$AD$26/1000</f>
        <v>86.073336627461714</v>
      </c>
    </row>
    <row r="31" spans="1:2" x14ac:dyDescent="0.25">
      <c r="A31" s="159" t="s">
        <v>313</v>
      </c>
      <c r="B31" s="161"/>
    </row>
    <row r="32" spans="1:2" ht="28.5" x14ac:dyDescent="0.25">
      <c r="A32" s="160" t="s">
        <v>314</v>
      </c>
      <c r="B32" s="171">
        <f>SUM(SUMIF(B33,"&gt;0",B33),SUMIF(B37,"&gt;0",B37),SUMIF(B41,"&gt;0",B41),SUMIF(B45,"&gt;0",B45),SUMIF(B49,"&gt;0",B49),SUMIF(B53,"&gt;0",B53))</f>
        <v>72.2166</v>
      </c>
    </row>
    <row r="33" spans="1:2" ht="30" x14ac:dyDescent="0.25">
      <c r="A33" s="168" t="s">
        <v>433</v>
      </c>
      <c r="B33" s="161">
        <f>IFERROR(IF(VLOOKUP(1,'7. Паспорт отчет о закупке'!$A$27:$CD$86,52,0)="ИП",VLOOKUP(1,'7. Паспорт отчет о закупке'!$A$27:$CD$86,30,0)/1000,"нд"),"нд")</f>
        <v>21.0852</v>
      </c>
    </row>
    <row r="34" spans="1:2" x14ac:dyDescent="0.25">
      <c r="A34" s="168" t="s">
        <v>315</v>
      </c>
      <c r="B34" s="161">
        <f>IF(B33="нд","нд",$B33/$B$27*100)</f>
        <v>34.034222767556393</v>
      </c>
    </row>
    <row r="35" spans="1:2" x14ac:dyDescent="0.25">
      <c r="A35" s="168" t="s">
        <v>316</v>
      </c>
      <c r="B35" s="161">
        <f>IF(VLOOKUP(1,'7. Паспорт отчет о закупке'!$A$27:$CD$86,52,0)="ИП",VLOOKUP(1,'7. Паспорт отчет о закупке'!$A$27:$CD$86,51,0)/1000,"нд")</f>
        <v>20.925343809999998</v>
      </c>
    </row>
    <row r="36" spans="1:2" x14ac:dyDescent="0.25">
      <c r="A36" s="168" t="s">
        <v>437</v>
      </c>
      <c r="B36" s="161">
        <f>IF(VLOOKUP(1,'7. Паспорт отчет о закупке'!$A$27:$CD$86,52,0)="ИП",VLOOKUP(1,'7. Паспорт отчет о закупке'!$A$27:$CD$86,50,0)/1000,"нд")</f>
        <v>17.437786499999998</v>
      </c>
    </row>
    <row r="37" spans="1:2" ht="30" x14ac:dyDescent="0.25">
      <c r="A37" s="168" t="s">
        <v>433</v>
      </c>
      <c r="B37" s="161">
        <f>IF(VLOOKUP(2,'7. Паспорт отчет о закупке'!$A$27:$CD$86,52,0)="ИП",VLOOKUP(2,'7. Паспорт отчет о закупке'!$A$27:$CD$86,30,0)/1000,"нд")</f>
        <v>2.532</v>
      </c>
    </row>
    <row r="38" spans="1:2" x14ac:dyDescent="0.25">
      <c r="A38" s="168" t="s">
        <v>315</v>
      </c>
      <c r="B38" s="161">
        <f>IF(B37="нд","нд",$B37/$B$27*100)</f>
        <v>4.086973424366513</v>
      </c>
    </row>
    <row r="39" spans="1:2" x14ac:dyDescent="0.25">
      <c r="A39" s="168" t="s">
        <v>316</v>
      </c>
      <c r="B39" s="161">
        <f>IF(VLOOKUP(2,'7. Паспорт отчет о закупке'!$A$27:$CD$86,52,0)="ИП",VLOOKUP(2,'7. Паспорт отчет о закупке'!$A$27:$CD$86,51,0)/1000,"нд")</f>
        <v>2.532</v>
      </c>
    </row>
    <row r="40" spans="1:2" x14ac:dyDescent="0.25">
      <c r="A40" s="168" t="s">
        <v>437</v>
      </c>
      <c r="B40" s="161">
        <f>IF(VLOOKUP(2,'7. Паспорт отчет о закупке'!$A$27:$CD$86,52,0)="ИП",VLOOKUP(2,'7. Паспорт отчет о закупке'!$A$27:$CD$86,50,0)/1000,"нд")</f>
        <v>2.11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48.599400000000003</v>
      </c>
    </row>
    <row r="46" spans="1:2" x14ac:dyDescent="0.25">
      <c r="A46" s="168" t="s">
        <v>315</v>
      </c>
      <c r="B46" s="161">
        <f>IF(B45="нд","нд",$B45/$B$27*100)</f>
        <v>78.445677819967571</v>
      </c>
    </row>
    <row r="47" spans="1:2" x14ac:dyDescent="0.25">
      <c r="A47" s="168" t="s">
        <v>316</v>
      </c>
      <c r="B47" s="161">
        <f>IF(VLOOKUP(4,'7. Паспорт отчет о закупке'!$A$27:$CD$86,52,0)="ИП",VLOOKUP(4,'7. Паспорт отчет о закупке'!$A$27:$CD$86,51,0)/1000,"нд")</f>
        <v>23.307180349999999</v>
      </c>
    </row>
    <row r="48" spans="1:2" x14ac:dyDescent="0.25">
      <c r="A48" s="168" t="s">
        <v>437</v>
      </c>
      <c r="B48" s="161">
        <f>IF(VLOOKUP(4,'7. Паспорт отчет о закупке'!$A$27:$CD$86,52,0)="ИП",VLOOKUP(4,'7. Паспорт отчет о закупке'!$A$27:$CD$86,50,0)/1000,"нд")</f>
        <v>19.42265029</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13.856736627461718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13.856736627461718</v>
      </c>
    </row>
    <row r="67" spans="1:2" x14ac:dyDescent="0.25">
      <c r="A67" s="168" t="s">
        <v>315</v>
      </c>
      <c r="B67" s="161">
        <f>IF(B66="нд","нд",$B66/$B$27*100)</f>
        <v>22.366553848689612</v>
      </c>
    </row>
    <row r="68" spans="1:2" x14ac:dyDescent="0.25">
      <c r="A68" s="168" t="s">
        <v>316</v>
      </c>
      <c r="B68" s="161">
        <f>IF(VLOOKUP(3,'7. Паспорт отчет о закупке'!$A$27:$CD$86,52,0)="ПД",VLOOKUP(3,'7. Паспорт отчет о закупке'!$A$27:$CD$86,51,0)/1000,"нд")</f>
        <v>13.8072</v>
      </c>
    </row>
    <row r="69" spans="1:2" x14ac:dyDescent="0.25">
      <c r="A69" s="168" t="s">
        <v>437</v>
      </c>
      <c r="B69" s="161">
        <f>IF(VLOOKUP(3,'7. Паспорт отчет о закупке'!$A$27:$CD$86,52,0)="ПД",VLOOKUP(3,'7. Паспорт отчет о закупке'!$A$27:$CD$86,50,0)/1000,"нд")</f>
        <v>11.506</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112.47990058752397</v>
      </c>
      <c r="C85" s="194"/>
      <c r="D85" s="195"/>
      <c r="E85" s="194"/>
      <c r="F85" s="194"/>
      <c r="G85" s="194"/>
    </row>
    <row r="86" spans="1:7" x14ac:dyDescent="0.25">
      <c r="A86" s="163" t="s">
        <v>321</v>
      </c>
      <c r="B86" s="166">
        <f>SUMIF('7. Паспорт отчет о закупке'!$BA$27:$BA$86,"ТМЦ",'7. Паспорт отчет о закупке'!$AD$27:$AD$86)/1000/$B$27*100</f>
        <v>22.366553848689612</v>
      </c>
      <c r="C86" s="194"/>
      <c r="D86" s="195"/>
      <c r="E86" s="194"/>
      <c r="F86" s="194"/>
      <c r="G86" s="194"/>
    </row>
    <row r="87" spans="1:7" x14ac:dyDescent="0.25">
      <c r="A87" s="163" t="s">
        <v>322</v>
      </c>
      <c r="B87" s="166">
        <f>SUMIF('7. Паспорт отчет о закупке'!$BA$27:$BA$86,"ПИР",'7. Паспорт отчет о закупке'!$AD$27:$AD$86)/1000/$B$27*100</f>
        <v>4.086973424366513</v>
      </c>
      <c r="C87" s="194"/>
      <c r="D87" s="195"/>
      <c r="E87" s="194"/>
      <c r="F87" s="194"/>
      <c r="G87" s="194"/>
    </row>
    <row r="88" spans="1:7" ht="30" x14ac:dyDescent="0.25">
      <c r="A88" s="158" t="s">
        <v>439</v>
      </c>
      <c r="B88" s="171">
        <v>43.548726115207934</v>
      </c>
      <c r="C88" s="194"/>
      <c r="D88" s="194"/>
      <c r="E88" s="194"/>
      <c r="F88" s="194"/>
      <c r="G88" s="194"/>
    </row>
    <row r="89" spans="1:7" x14ac:dyDescent="0.25">
      <c r="A89" s="158" t="s">
        <v>323</v>
      </c>
      <c r="B89" s="171">
        <f>'6.2. Паспорт фин осв ввод'!D24-'6.2. Паспорт фин осв ввод'!E24</f>
        <v>60.381162112245768</v>
      </c>
    </row>
    <row r="90" spans="1:7" x14ac:dyDescent="0.25">
      <c r="A90" s="158" t="s">
        <v>436</v>
      </c>
      <c r="B90" s="171">
        <f>IFERROR(SUM(B91*1.2/$B$27*100),0)</f>
        <v>97.88045375108544</v>
      </c>
    </row>
    <row r="91" spans="1:7" x14ac:dyDescent="0.25">
      <c r="A91" s="158" t="s">
        <v>441</v>
      </c>
      <c r="B91" s="171">
        <f>'6.2. Паспорт фин осв ввод'!D34-'6.2. Паспорт фин осв ввод'!E34</f>
        <v>50.533178459999995</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Дружная в части замены ячейки выключателя 220 кВ (В-257) с выполнением сопутствующего объема работ", договор № ИП-23-00030 от 28.02.2023
ООО  "ИНСТИТУТ ПРОЕКТИРОВАНИЯ ЭНЕРГЕТИЧЕСКИХ СИСТЕМ", ПИР, Выполнение проектно-изыскательских работ по замене выключателя (В-257) ПС 220 Дружная, договор № ИП-20-00070 от 20.03.2020
Общество с ограниченной ответственностью "Инженерный центр Сибири", ТМЦ, Поставка разъединителей 110-220 кВ, договор № ПД-23-00052 от 14.03.2023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M_00.0011.000011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M_00.0011.000011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558</v>
      </c>
      <c r="C25" s="151" t="s">
        <v>558</v>
      </c>
      <c r="D25" s="151" t="s">
        <v>382</v>
      </c>
      <c r="E25" s="151" t="s">
        <v>564</v>
      </c>
      <c r="F25" s="151" t="s">
        <v>565</v>
      </c>
      <c r="G25" s="151" t="s">
        <v>566</v>
      </c>
      <c r="H25" s="151" t="s">
        <v>566</v>
      </c>
      <c r="I25" s="151">
        <v>1982</v>
      </c>
      <c r="J25" s="151">
        <v>2020</v>
      </c>
      <c r="K25" s="151">
        <v>1984</v>
      </c>
      <c r="L25" s="151">
        <v>220</v>
      </c>
      <c r="M25" s="151">
        <v>220</v>
      </c>
      <c r="N25" s="151" t="s">
        <v>425</v>
      </c>
      <c r="O25" s="151" t="s">
        <v>425</v>
      </c>
      <c r="P25" s="244" t="s">
        <v>425</v>
      </c>
      <c r="Q25" s="151" t="s">
        <v>567</v>
      </c>
      <c r="R25" s="151" t="s">
        <v>568</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M_00.0011.000011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558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559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560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561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M_00.0011.000011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M_00.0011.000011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M_00.0011.000011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4" sqref="A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572</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M_00.0011.000011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43831</v>
      </c>
      <c r="D25" s="255">
        <v>44867</v>
      </c>
      <c r="E25" s="255">
        <v>43831</v>
      </c>
      <c r="F25" s="255">
        <v>45180</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43831</v>
      </c>
      <c r="D31" s="255" t="s">
        <v>425</v>
      </c>
      <c r="E31" s="255">
        <v>43831</v>
      </c>
      <c r="F31" s="255">
        <v>43910</v>
      </c>
      <c r="G31" s="260">
        <v>1</v>
      </c>
      <c r="H31" s="260" t="s">
        <v>573</v>
      </c>
      <c r="I31" s="257" t="s">
        <v>425</v>
      </c>
      <c r="J31" s="257" t="s">
        <v>425</v>
      </c>
    </row>
    <row r="32" spans="1:12" x14ac:dyDescent="0.25">
      <c r="A32" s="257" t="s">
        <v>465</v>
      </c>
      <c r="B32" s="258" t="s">
        <v>466</v>
      </c>
      <c r="C32" s="255">
        <v>43970</v>
      </c>
      <c r="D32" s="255">
        <v>44329</v>
      </c>
      <c r="E32" s="255">
        <v>43970</v>
      </c>
      <c r="F32" s="255">
        <v>44190</v>
      </c>
      <c r="G32" s="260">
        <v>1</v>
      </c>
      <c r="H32" s="260" t="s">
        <v>573</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44867</v>
      </c>
      <c r="D35" s="255">
        <v>44867</v>
      </c>
      <c r="E35" s="255" t="s">
        <v>425</v>
      </c>
      <c r="F35" s="255">
        <v>45180</v>
      </c>
      <c r="G35" s="260">
        <v>1</v>
      </c>
      <c r="H35" s="260" t="s">
        <v>573</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43970</v>
      </c>
      <c r="D37" s="255">
        <v>44329</v>
      </c>
      <c r="E37" s="255">
        <v>43970</v>
      </c>
      <c r="F37" s="255">
        <v>44190</v>
      </c>
      <c r="G37" s="260">
        <v>1</v>
      </c>
      <c r="H37" s="260" t="s">
        <v>573</v>
      </c>
      <c r="I37" s="257" t="s">
        <v>425</v>
      </c>
      <c r="J37" s="257" t="s">
        <v>425</v>
      </c>
    </row>
    <row r="38" spans="1:10" ht="31.5" x14ac:dyDescent="0.25">
      <c r="A38" s="252">
        <v>2</v>
      </c>
      <c r="B38" s="254" t="s">
        <v>502</v>
      </c>
      <c r="C38" s="255" t="s">
        <v>425</v>
      </c>
      <c r="D38" s="255" t="s">
        <v>425</v>
      </c>
      <c r="E38" s="255">
        <v>43937</v>
      </c>
      <c r="F38" s="255">
        <v>45290</v>
      </c>
      <c r="G38" s="261">
        <v>1</v>
      </c>
      <c r="H38" s="261">
        <v>1</v>
      </c>
      <c r="I38" s="252" t="s">
        <v>425</v>
      </c>
      <c r="J38" s="252" t="s">
        <v>425</v>
      </c>
    </row>
    <row r="39" spans="1:10" ht="31.5" x14ac:dyDescent="0.25">
      <c r="A39" s="262" t="s">
        <v>477</v>
      </c>
      <c r="B39" s="258" t="s">
        <v>478</v>
      </c>
      <c r="C39" s="255">
        <v>44039</v>
      </c>
      <c r="D39" s="255">
        <v>45000</v>
      </c>
      <c r="E39" s="255">
        <v>43937</v>
      </c>
      <c r="F39" s="255">
        <v>44985</v>
      </c>
      <c r="G39" s="263">
        <v>1</v>
      </c>
      <c r="H39" s="263" t="s">
        <v>573</v>
      </c>
      <c r="I39" s="257" t="s">
        <v>425</v>
      </c>
      <c r="J39" s="257" t="s">
        <v>425</v>
      </c>
    </row>
    <row r="40" spans="1:10" x14ac:dyDescent="0.25">
      <c r="A40" s="262" t="s">
        <v>479</v>
      </c>
      <c r="B40" s="258" t="s">
        <v>480</v>
      </c>
      <c r="C40" s="255">
        <v>43998</v>
      </c>
      <c r="D40" s="255">
        <v>45078</v>
      </c>
      <c r="E40" s="255">
        <v>43998</v>
      </c>
      <c r="F40" s="255">
        <v>45290</v>
      </c>
      <c r="G40" s="263">
        <v>1</v>
      </c>
      <c r="H40" s="263" t="s">
        <v>573</v>
      </c>
      <c r="I40" s="257" t="s">
        <v>425</v>
      </c>
      <c r="J40" s="257" t="s">
        <v>425</v>
      </c>
    </row>
    <row r="41" spans="1:10" x14ac:dyDescent="0.25">
      <c r="A41" s="252">
        <v>3</v>
      </c>
      <c r="B41" s="254" t="s">
        <v>481</v>
      </c>
      <c r="C41" s="255">
        <v>45170</v>
      </c>
      <c r="D41" s="255">
        <v>45175</v>
      </c>
      <c r="E41" s="255">
        <v>44028</v>
      </c>
      <c r="F41" s="255">
        <v>45525</v>
      </c>
      <c r="G41" s="261">
        <v>1</v>
      </c>
      <c r="H41" s="261">
        <v>1</v>
      </c>
      <c r="I41" s="252" t="s">
        <v>425</v>
      </c>
      <c r="J41" s="252" t="s">
        <v>425</v>
      </c>
    </row>
    <row r="42" spans="1:10" x14ac:dyDescent="0.25">
      <c r="A42" s="257" t="s">
        <v>482</v>
      </c>
      <c r="B42" s="258" t="s">
        <v>483</v>
      </c>
      <c r="C42" s="255">
        <v>44287</v>
      </c>
      <c r="D42" s="255">
        <v>45047</v>
      </c>
      <c r="E42" s="255">
        <v>44287</v>
      </c>
      <c r="F42" s="255">
        <v>45503</v>
      </c>
      <c r="G42" s="263">
        <v>1</v>
      </c>
      <c r="H42" s="263">
        <v>1</v>
      </c>
      <c r="I42" s="257" t="s">
        <v>425</v>
      </c>
      <c r="J42" s="257" t="s">
        <v>425</v>
      </c>
    </row>
    <row r="43" spans="1:10" x14ac:dyDescent="0.25">
      <c r="A43" s="257" t="s">
        <v>484</v>
      </c>
      <c r="B43" s="258" t="s">
        <v>485</v>
      </c>
      <c r="C43" s="255">
        <v>44028</v>
      </c>
      <c r="D43" s="255">
        <v>45078</v>
      </c>
      <c r="E43" s="255">
        <v>44028</v>
      </c>
      <c r="F43" s="255">
        <v>45518</v>
      </c>
      <c r="G43" s="263">
        <v>1</v>
      </c>
      <c r="H43" s="263">
        <v>1</v>
      </c>
      <c r="I43" s="257" t="s">
        <v>425</v>
      </c>
      <c r="J43" s="257" t="s">
        <v>425</v>
      </c>
    </row>
    <row r="44" spans="1:10" x14ac:dyDescent="0.25">
      <c r="A44" s="257" t="s">
        <v>486</v>
      </c>
      <c r="B44" s="258" t="s">
        <v>487</v>
      </c>
      <c r="C44" s="255">
        <v>44317</v>
      </c>
      <c r="D44" s="255">
        <v>45168</v>
      </c>
      <c r="E44" s="255">
        <v>44317</v>
      </c>
      <c r="F44" s="255">
        <v>45525</v>
      </c>
      <c r="G44" s="263" t="s">
        <v>573</v>
      </c>
      <c r="H44" s="263" t="s">
        <v>573</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45170</v>
      </c>
      <c r="D47" s="255">
        <v>45175</v>
      </c>
      <c r="E47" s="255">
        <v>44378</v>
      </c>
      <c r="F47" s="255">
        <v>45525</v>
      </c>
      <c r="G47" s="263" t="s">
        <v>573</v>
      </c>
      <c r="H47" s="263" t="s">
        <v>573</v>
      </c>
      <c r="I47" s="257" t="s">
        <v>425</v>
      </c>
      <c r="J47" s="257" t="s">
        <v>425</v>
      </c>
    </row>
    <row r="48" spans="1:10" x14ac:dyDescent="0.25">
      <c r="A48" s="252">
        <v>4</v>
      </c>
      <c r="B48" s="254" t="s">
        <v>494</v>
      </c>
      <c r="C48" s="255">
        <v>45184</v>
      </c>
      <c r="D48" s="255">
        <v>45199</v>
      </c>
      <c r="E48" s="255">
        <v>44557</v>
      </c>
      <c r="F48" s="255">
        <v>45525</v>
      </c>
      <c r="G48" s="261">
        <v>1</v>
      </c>
      <c r="H48" s="261">
        <v>1</v>
      </c>
      <c r="I48" s="252" t="s">
        <v>425</v>
      </c>
      <c r="J48" s="252" t="s">
        <v>425</v>
      </c>
    </row>
    <row r="49" spans="1:10" x14ac:dyDescent="0.25">
      <c r="A49" s="257" t="s">
        <v>495</v>
      </c>
      <c r="B49" s="258" t="s">
        <v>496</v>
      </c>
      <c r="C49" s="255">
        <v>45175</v>
      </c>
      <c r="D49" s="255">
        <v>45184</v>
      </c>
      <c r="E49" s="255">
        <v>44557</v>
      </c>
      <c r="F49" s="255">
        <v>45525</v>
      </c>
      <c r="G49" s="263" t="s">
        <v>573</v>
      </c>
      <c r="H49" s="263" t="s">
        <v>573</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45184</v>
      </c>
      <c r="D53" s="255">
        <v>45199</v>
      </c>
      <c r="E53" s="255">
        <v>44560</v>
      </c>
      <c r="F53" s="255">
        <v>45525</v>
      </c>
      <c r="G53" s="263" t="s">
        <v>573</v>
      </c>
      <c r="H53" s="263" t="s">
        <v>573</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2025-02-13T07:02:07Z</dcterms:modified>
</cp:coreProperties>
</file>