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EA266287-4541-4294-BCD9-519D8D8CE74C}" xr6:coauthVersionLast="47" xr6:coauthVersionMax="47" xr10:uidLastSave="{00000000-0000-0000-0000-000000000000}"/>
  <bookViews>
    <workbookView xWindow="30765" yWindow="13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<sst xmlns="http://schemas.openxmlformats.org/spreadsheetml/2006/main" count="4527" uniqueCount="549">
  <si>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</si>
  <si>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</si>
  <si>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</si>
  <si>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</si>
  <si>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</si>
  <si>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</si>
  <si>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</si>
  <si>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</si>
  <si>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</si>
  <si>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</si>
  <si>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</si>
  <si>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</si>
  <si>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</si>
  <si>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</si>
  <si>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</si>
  <si>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</si>
  <si>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</si>
  <si>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</si>
  <si>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</si>
  <si>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</si>
  <si>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</si>
  <si>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</si>
  <si>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</si>
  <si>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</si>
  <si>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</si>
  <si>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</si>
  <si>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</si>
  <si>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</si>
  <si>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</si>
  <si>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</si>
  <si>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</si>
  <si>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</si>
  <si>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</si>
  <si>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</si>
  <si>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</si>
  <si>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</si>
  <si>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</si>
  <si>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</si>
  <si>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</si>
  <si>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</si>
  <si>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</si>
  <si>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</si>
  <si>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</si>
  <si>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</si>
  <si>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</si>
  <si>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</si>
  <si>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</si>
  <si>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</si>
  <si>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</si>
  <si>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</si>
  <si>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</si>
  <si>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</si>
  <si>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</si>
  <si>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</si>
  <si>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</si>
  <si>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</si>
  <si>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</si>
  <si>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</si>
  <si>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</si>
  <si>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</si>
  <si>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</si>
  <si>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</si>
  <si>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</si>
  <si>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</si>
  <si>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</si>
  <si>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</si>
  <si>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</si>
  <si>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</si>
  <si>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</si>
  <si>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</si>
  <si>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</si>
  <si>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</si>
  <si>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</si>
  <si>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</si>
  <si>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</si>
  <si>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</si>
  <si>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</si>
  <si>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</si>
  <si>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</si>
  <si>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</si>
  <si>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</si>
  <si>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</si>
  <si>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</si>
  <si>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</si>
  <si>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</si>
  <si>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</si>
  <si>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</si>
  <si>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</si>
  <si>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</si>
  <si>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</si>
  <si>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</si>
  <si>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</si>
  <si>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</si>
  <si>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</si>
  <si>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</si>
  <si>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</si>
  <si>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</si>
  <si>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</si>
  <si>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</si>
  <si>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</si>
  <si>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</si>
  <si>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</si>
  <si>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</si>
  <si>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</si>
  <si>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</si>
  <si>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</si>
  <si>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</si>
  <si>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</si>
  <si>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</si>
  <si>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</si>
  <si>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</si>
  <si>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</si>
  <si>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</si>
  <si>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</si>
  <si>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</si>
  <si>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</si>
  <si>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</si>
  <si>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</si>
  <si>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</si>
  <si>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</si>
  <si>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</si>
  <si>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</si>
  <si>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</si>
  <si>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</si>
  <si>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</si>
  <si>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</si>
  <si>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</si>
  <si>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</si>
  <si>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</si>
  <si>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</si>
  <si>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</si>
  <si>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</si>
  <si>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</si>
  <si>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</si>
  <si>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</si>
  <si>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</si>
  <si>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</si>
  <si>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</si>
  <si>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</si>
  <si>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</si>
  <si>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</si>
  <si>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</si>
  <si>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</si>
  <si>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</si>
  <si>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</si>
  <si>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</si>
  <si>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</si>
  <si>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</si>
  <si>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</si>
  <si>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</si>
  <si>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</si>
  <si>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</si>
  <si>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</si>
  <si>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</si>
  <si>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</si>
  <si>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</si>
  <si>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</si>
  <si>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</si>
  <si>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</si>
  <si>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</si>
  <si>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</si>
  <si>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</si>
  <si>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</si>
  <si>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</si>
  <si>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</si>
  <si>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</si>
  <si>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</si>
  <si>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</si>
  <si>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</si>
  <si>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</si>
  <si>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</si>
  <si>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</si>
  <si>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</si>
  <si>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</si>
  <si>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</si>
  <si>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</si>
  <si>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</si>
  <si>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</si>
  <si>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</si>
  <si>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</si>
  <si>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</si>
  <si>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</si>
  <si>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</si>
  <si>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</si>
  <si>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</si>
  <si>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</si>
  <si>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</si>
  <si>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</si>
  <si>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</si>
  <si>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</si>
  <si>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</si>
  <si>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</si>
  <si>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</si>
  <si>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</si>
  <si>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</si>
  <si>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</si>
  <si>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</si>
  <si>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</si>
  <si>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</si>
  <si>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</si>
  <si>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</si>
  <si>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</si>
  <si>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</si>
  <si>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</si>
  <si>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</si>
  <si>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</si>
  <si>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</si>
  <si>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</si>
  <si>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</si>
  <si>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</si>
  <si>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</si>
  <si>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</si>
  <si>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</si>
  <si>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</si>
  <si>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</si>
  <si>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</si>
  <si>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</si>
  <si>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</si>
  <si>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</si>
  <si>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</si>
  <si>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</si>
  <si>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</si>
  <si>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</si>
  <si>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</si>
  <si>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</si>
  <si>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</si>
  <si>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</si>
  <si>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</si>
  <si>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</si>
  <si>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</si>
  <si>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</si>
  <si>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</si>
  <si>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</si>
  <si>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</si>
  <si>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</si>
  <si>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</si>
  <si>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</si>
  <si>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</si>
  <si>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</si>
  <si>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</si>
  <si>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</si>
  <si>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</si>
  <si>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</si>
  <si>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</si>
  <si>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</si>
  <si>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</si>
  <si>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</si>
  <si>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</si>
  <si>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</si>
  <si>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</si>
  <si>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</si>
  <si>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</si>
  <si>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</si>
  <si>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</si>
  <si>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</si>
  <si>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</si>
  <si>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</si>
  <si>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</si>
  <si>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</si>
  <si>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</si>
  <si>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</si>
  <si>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</si>
  <si>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</si>
  <si>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</si>
  <si>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</si>
  <si>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</si>
  <si>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</si>
  <si>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</si>
  <si>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</si>
  <si>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</si>
  <si>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</si>
  <si>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</si>
  <si>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</si>
  <si>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</si>
  <si>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</si>
  <si>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</si>
  <si>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</si>
  <si>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</si>
  <si>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</si>
  <si>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</si>
  <si>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</si>
  <si>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</si>
  <si>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</si>
  <si>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</si>
  <si>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</si>
  <si>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</si>
  <si>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</si>
  <si>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</si>
  <si>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</si>
  <si>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</si>
  <si>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</si>
  <si>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</si>
  <si>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</si>
  <si>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</si>
  <si>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</si>
  <si>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</si>
  <si>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</si>
  <si>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</si>
  <si>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</si>
  <si>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</si>
  <si>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</si>
  <si>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</si>
  <si>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</si>
  <si>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</si>
  <si>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</si>
  <si>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</si>
  <si>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</si>
  <si>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</si>
  <si>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</si>
  <si>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</si>
  <si>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</si>
  <si>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</si>
  <si>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</si>
  <si>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</si>
  <si>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</si>
  <si>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</si>
  <si>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</si>
  <si>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</si>
  <si>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</si>
  <si>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</si>
  <si>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</si>
  <si>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</si>
  <si>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</si>
  <si>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</si>
  <si>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</si>
  <si>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</si>
  <si>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</si>
  <si>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</si>
  <si>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</si>
  <si>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</si>
  <si>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</si>
  <si>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</si>
  <si>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</si>
  <si>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</si>
  <si>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</si>
  <si>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</si>
  <si>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</si>
  <si>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</si>
  <si>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</si>
  <si>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</si>
  <si>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</si>
  <si>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</si>
  <si>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</si>
  <si>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</si>
  <si>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</si>
  <si>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</si>
  <si>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</si>
  <si>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</si>
  <si>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</si>
  <si>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</si>
  <si>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</si>
  <si>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</si>
  <si>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</si>
  <si>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</si>
  <si>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</si>
  <si>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</si>
  <si>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</si>
  <si>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</si>
  <si>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</si>
  <si>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</si>
  <si>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</si>
  <si>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</si>
  <si>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</si>
  <si>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</si>
  <si>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</si>
  <si>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</si>
  <si>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</si>
  <si>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</si>
  <si>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</si>
  <si>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</si>
  <si>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</si>
  <si>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</si>
  <si>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</si>
  <si>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</si>
  <si>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</si>
  <si>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</si>
  <si>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</si>
  <si>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</si>
  <si>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</si>
  <si>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</si>
  <si>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</si>
  <si>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</si>
  <si>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</si>
  <si>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</si>
  <si>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</si>
  <si>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</si>
  <si>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</si>
  <si>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</si>
  <si>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</si>
  <si>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</si>
  <si>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</si>
  <si>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</si>
  <si>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</si>
  <si>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</si>
  <si>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</si>
  <si>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</si>
  <si>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</si>
  <si>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</si>
  <si>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</si>
  <si>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</si>
  <si>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</si>
  <si>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</si>
  <si>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</si>
  <si>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</si>
  <si>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</si>
  <si>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</si>
  <si>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</si>
  <si>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</si>
  <si>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</si>
  <si>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</si>
  <si>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</si>
  <si>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</si>
  <si>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</si>
  <si>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</si>
  <si>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</si>
  <si>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</si>
  <si>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</si>
  <si>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</si>
  <si>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</si>
  <si>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</si>
  <si>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</si>
  <si>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</si>
  <si>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</si>
  <si>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</si>
  <si>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</si>
  <si>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</si>
  <si>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</si>
  <si>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</si>
  <si>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</si>
  <si>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</si>
  <si>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</si>
  <si>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</si>
  <si>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</si>
  <si>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</si>
  <si>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</si>
  <si>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</si>
  <si>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</si>
  <si>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</si>
  <si>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</si>
  <si>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</si>
  <si>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</si>
  <si>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</si>
  <si>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</si>
  <si>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заземляющего устройства ПС 220 кв Урожай</t>
  </si>
  <si>
    <t>Утвержденный план</t>
  </si>
  <si>
    <t>Предложение по корректировке утвержденного плана</t>
  </si>
  <si>
    <t>по состоянию на 01.01.2024 года</t>
  </si>
  <si>
    <t>M_00.0026.000026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</si>
  <si>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</si>
  <si>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</si>
  <si>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</si>
  <si>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</si>
  <si>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</si>
  <si>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</si>
  <si>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</si>
  <si>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</si>
  <si>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</si>
  <si>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</si>
  <si>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</si>
  <si>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</si>
  <si>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</si>
  <si>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</si>
  <si>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</si>
  <si>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</si>
  <si>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</si>
  <si>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</si>
  <si>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</si>
  <si>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</si>
  <si>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</si>
  <si>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</si>
  <si>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</si>
  <si>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</si>
  <si>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</si>
  <si>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</si>
  <si>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</si>
  <si>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</si>
  <si>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</si>
  <si>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</si>
  <si>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</si>
  <si>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</si>
  <si>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</si>
  <si>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</si>
  <si>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</si>
  <si>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</si>
  <si>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</si>
  <si>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</si>
  <si>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</si>
  <si>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</si>
  <si>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</si>
  <si>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</si>
  <si>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</si>
  <si>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</si>
  <si>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</si>
  <si>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</si>
  <si>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</si>
  <si>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</si>
  <si>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</si>
  <si>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</si>
  <si>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</si>
  <si>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</si>
  <si>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</si>
  <si>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</si>
  <si>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</si>
  <si>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</si>
  <si>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</si>
  <si>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</si>
  <si>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</si>
  <si>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необходимостью выполнения дополнительного объема работ на основании актуализированного отчета по обследованию ЭМО и ЭМС №23-0010 от 09.06.2023 выполненного в рамках проектно-изыскательских работ по проекту. Смещение срока реализации проекта в связи с необходимостью корреляции объемов работ по смежным титулам, требующим привязки к разрабатываемым проектным решениям</t>
  </si>
  <si>
    <t>СМР</t>
  </si>
  <si>
    <t>Выполнение строительно-монтажных работ по проекту "Реконструкция заземляющего устройства ПС 220 кВ Урожай" (в части 3 этапа)</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</si>
  <si>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</si>
  <si>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</si>
  <si>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</si>
  <si>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"КОМПАНИЯ ИНЖИНИРИНГ ЭНЕРГОСИСТЕМ"
ОБЩЕСТВО С ОГРАНИЧЕННОЙ ОТВЕТСТВЕННОСТЬЮ "КОМПЛЕКСНАЯ ДИАГНОСТИКА"</t>
  </si>
  <si>
    <t>7100
6900</t>
  </si>
  <si>
    <t>6850
6863,99965</t>
  </si>
  <si>
    <t>ОБЩЕСТВО С ОГРАНИЧЕННОЙ ОТВЕТСТВЕННОСТЬЮ "КОМПАНИЯ ИНЖИНИРИНГ ЭНЕРГОСИСТЕМ"</t>
  </si>
  <si>
    <t>да</t>
  </si>
  <si>
    <t>https://com.roseltorg.ru/</t>
  </si>
  <si>
    <t>ИП</t>
  </si>
  <si>
    <t>ООО "КИЭ"</t>
  </si>
  <si>
    <t>ИП-24-00131 от 19.06.2024</t>
  </si>
  <si>
    <t>ПИР, СМР, ПНР</t>
  </si>
  <si>
    <t>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t>
  </si>
  <si>
    <t>ОБЩЕСТВО С ОГРАНИЧЕННОЙ ОТВЕТСТВЕННОСТЬЮ «КОМПАНИЯ ИНЖИНИРИНГ ЭНЕРГОСИСТЕМ»</t>
  </si>
  <si>
    <t xml:space="preserve"> -</t>
  </si>
  <si>
    <t>ИП-22-00193 от 28.07.2022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</si>
  <si>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</si>
  <si>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</si>
  <si>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</si>
  <si>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"Реконструкция заземляющих устройств ПС 220 кВ Чулымская" на основании Справки о стоимости выполненных работ и затрат №1 от 10.11.2016</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</si>
  <si>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</si>
  <si>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</si>
  <si>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</si>
  <si>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</si>
  <si>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</si>
  <si>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</si>
  <si>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Обеспечение безопасных напряжений прикосновения к оборудованию подстанции и промышленного предприятия в нормальном режиме работы электроустановок и при несимметричных замыканиях (в том числе КЗ) на землю.</t>
  </si>
  <si>
    <t>ПС 220 кВ Урожай</t>
  </si>
  <si>
    <t>14308,56 тыс. руб. с НДС на  устройство ЗУ ПС</t>
  </si>
  <si>
    <t>Выделение этапов не предусмотрено</t>
  </si>
  <si>
    <t xml:space="preserve">Результат технического отчета №397/1 от 27.08.2018 г. </t>
  </si>
  <si>
    <t>1С, 2П</t>
  </si>
  <si>
    <t>Сибирский Федеральный округ, Новосибирская область, г. Карасук</t>
  </si>
  <si>
    <t/>
  </si>
  <si>
    <t>КВЛ по состоянию на 01.10.2024, тыс. руб. без НДС (без ФОТ)</t>
  </si>
  <si>
    <t>ФИН по состоянию на 01.10.2024, тыс. руб. с НДС (без взаимозачетов)</t>
  </si>
  <si>
    <t>100%</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</si>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</sst>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F15" sqref="F1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14.308557112793999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M_00.0026.000026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заземляющего устройства ПС 220 кв Урожай</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5.0046650879999994</v>
      </c>
      <c r="D24" s="279">
        <f t="shared" si="0"/>
        <v>14.308557112793999</v>
      </c>
      <c r="E24" s="284">
        <f t="shared" si="0"/>
        <v>9.3038920227939972</v>
      </c>
      <c r="F24" s="284">
        <f t="shared" si="0"/>
        <v>0</v>
      </c>
      <c r="G24" s="267">
        <f t="shared" si="0"/>
        <v>9.3038920227939972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4.1705542400000004</v>
      </c>
      <c r="D27" s="279">
        <v>11.923797593994998</v>
      </c>
      <c r="E27" s="285">
        <f>J27+N27+G27+P27+T27+X27</f>
        <v>8.6721548035654585</v>
      </c>
      <c r="F27" s="285">
        <f t="shared" si="8"/>
        <v>0</v>
      </c>
      <c r="G27" s="267">
        <v>8.6721548035654585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544</v>
      </c>
      <c r="J28" s="280">
        <v>0</v>
      </c>
      <c r="K28" s="281" t="s">
        <v>544</v>
      </c>
      <c r="L28" s="266">
        <v>0</v>
      </c>
      <c r="M28" s="268" t="s">
        <v>544</v>
      </c>
      <c r="N28" s="280">
        <v>0</v>
      </c>
      <c r="O28" s="281" t="s">
        <v>544</v>
      </c>
      <c r="P28" s="154">
        <v>0</v>
      </c>
      <c r="Q28" s="154" t="s">
        <v>544</v>
      </c>
      <c r="R28" s="280">
        <v>0</v>
      </c>
      <c r="S28" s="281">
        <v>0</v>
      </c>
      <c r="T28" s="154">
        <v>0</v>
      </c>
      <c r="U28" s="154" t="s">
        <v>544</v>
      </c>
      <c r="V28" s="280">
        <v>0</v>
      </c>
      <c r="W28" s="281">
        <v>0</v>
      </c>
      <c r="X28" s="154">
        <v>0</v>
      </c>
      <c r="Y28" s="154" t="s">
        <v>544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544</v>
      </c>
      <c r="J29" s="280">
        <v>0</v>
      </c>
      <c r="K29" s="281" t="s">
        <v>544</v>
      </c>
      <c r="L29" s="266">
        <v>0</v>
      </c>
      <c r="M29" s="268" t="s">
        <v>544</v>
      </c>
      <c r="N29" s="280">
        <v>0</v>
      </c>
      <c r="O29" s="281" t="s">
        <v>544</v>
      </c>
      <c r="P29" s="154">
        <v>0</v>
      </c>
      <c r="Q29" s="288" t="s">
        <v>544</v>
      </c>
      <c r="R29" s="280">
        <v>0</v>
      </c>
      <c r="S29" s="281">
        <v>0</v>
      </c>
      <c r="T29" s="154">
        <v>0</v>
      </c>
      <c r="U29" s="154" t="s">
        <v>544</v>
      </c>
      <c r="V29" s="280">
        <v>0</v>
      </c>
      <c r="W29" s="281">
        <v>0</v>
      </c>
      <c r="X29" s="154">
        <v>0</v>
      </c>
      <c r="Y29" s="154" t="s">
        <v>544</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544</v>
      </c>
      <c r="J30" s="280">
        <v>0</v>
      </c>
      <c r="K30" s="281" t="s">
        <v>544</v>
      </c>
      <c r="L30" s="266">
        <v>0</v>
      </c>
      <c r="M30" s="268" t="s">
        <v>544</v>
      </c>
      <c r="N30" s="280">
        <v>0</v>
      </c>
      <c r="O30" s="281" t="s">
        <v>544</v>
      </c>
      <c r="P30" s="154">
        <v>0</v>
      </c>
      <c r="Q30" s="154" t="s">
        <v>544</v>
      </c>
      <c r="R30" s="280">
        <v>0</v>
      </c>
      <c r="S30" s="281">
        <v>0</v>
      </c>
      <c r="T30" s="154">
        <v>0</v>
      </c>
      <c r="U30" s="154" t="s">
        <v>544</v>
      </c>
      <c r="V30" s="280">
        <v>0</v>
      </c>
      <c r="W30" s="281">
        <v>0</v>
      </c>
      <c r="X30" s="154">
        <v>0</v>
      </c>
      <c r="Y30" s="154" t="s">
        <v>544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544</v>
      </c>
      <c r="J31" s="280">
        <v>0</v>
      </c>
      <c r="K31" s="281" t="s">
        <v>544</v>
      </c>
      <c r="L31" s="266">
        <v>0</v>
      </c>
      <c r="M31" s="268" t="s">
        <v>544</v>
      </c>
      <c r="N31" s="280">
        <v>0</v>
      </c>
      <c r="O31" s="281" t="s">
        <v>544</v>
      </c>
      <c r="P31" s="154">
        <v>0</v>
      </c>
      <c r="Q31" s="154" t="s">
        <v>544</v>
      </c>
      <c r="R31" s="280">
        <v>0</v>
      </c>
      <c r="S31" s="281">
        <v>0</v>
      </c>
      <c r="T31" s="154">
        <v>0</v>
      </c>
      <c r="U31" s="154" t="s">
        <v>544</v>
      </c>
      <c r="V31" s="280">
        <v>0</v>
      </c>
      <c r="W31" s="281">
        <v>0</v>
      </c>
      <c r="X31" s="154">
        <v>0</v>
      </c>
      <c r="Y31" s="154" t="s">
        <v>544</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0.83411084799999935</v>
      </c>
      <c r="D33" s="280">
        <v>2.3847595187990009</v>
      </c>
      <c r="E33" s="285">
        <f>J33+N33+G33+P33+T33+X33</f>
        <v>0.63173721922853787</v>
      </c>
      <c r="F33" s="285">
        <f t="shared" ref="F33" si="18">E33-G33</f>
        <v>0</v>
      </c>
      <c r="G33" s="266">
        <v>0.63173721922853787</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4.1705542400000004</v>
      </c>
      <c r="D34" s="279">
        <f t="shared" ref="D34:G34" si="19">SUM(D35:D38)</f>
        <v>11.923797593994999</v>
      </c>
      <c r="E34" s="285">
        <f t="shared" ref="E34" si="20">J34+N34+G34+P34+T34+X34</f>
        <v>7.753243353994999</v>
      </c>
      <c r="F34" s="279">
        <f t="shared" si="19"/>
        <v>0</v>
      </c>
      <c r="G34" s="267">
        <f t="shared" si="19"/>
        <v>7.753243353994999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1.0118681438573089</v>
      </c>
      <c r="D35" s="280">
        <v>0.70880383999999996</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1.3062204054366791</v>
      </c>
      <c r="D36" s="280">
        <v>11.196714626076586</v>
      </c>
      <c r="E36" s="285">
        <f>J36+N36+G36+P36+T36+X36</f>
        <v>7.7349642260765856</v>
      </c>
      <c r="F36" s="285">
        <f t="shared" ref="F36:F37" si="30">E36-G36</f>
        <v>0</v>
      </c>
      <c r="G36" s="266">
        <v>7.7349642260765856</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1.8524656907060124</v>
      </c>
      <c r="D38" s="280">
        <v>1.8279127918412925E-2</v>
      </c>
      <c r="E38" s="285">
        <f>J38+N38+G38+P38+T38+X38</f>
        <v>1.8279127918412925E-2</v>
      </c>
      <c r="F38" s="285">
        <f>E38-G38</f>
        <v>0</v>
      </c>
      <c r="G38" s="266">
        <v>1.8279127918412925E-2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4.1705542400000004</v>
      </c>
      <c r="D56" s="280">
        <v>11.923797593994999</v>
      </c>
      <c r="E56" s="285">
        <f t="shared" ref="E56:E61" si="36">J56+N56+G56+P56+T56+X56</f>
        <v>7.753243353994999</v>
      </c>
      <c r="F56" s="280">
        <f t="shared" si="33"/>
        <v>0</v>
      </c>
      <c r="G56" s="266">
        <v>7.753243353994999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M_00.0026.000026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заземляющего устройства ПС 220 кв Урожай</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545</v>
      </c>
      <c r="AY22" s="490" t="s">
        <v>546</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11615.13845</v>
      </c>
      <c r="Q26" s="177" t="s">
        <v>425</v>
      </c>
      <c r="R26" s="179">
        <f>SUM(R27:R86)</f>
        <v>11615.21096</v>
      </c>
      <c r="S26" s="177" t="s">
        <v>425</v>
      </c>
      <c r="T26" s="177" t="s">
        <v>425</v>
      </c>
      <c r="U26" s="177" t="s">
        <v>425</v>
      </c>
      <c r="V26" s="177" t="s">
        <v>425</v>
      </c>
      <c r="W26" s="177" t="s">
        <v>425</v>
      </c>
      <c r="X26" s="177" t="s">
        <v>425</v>
      </c>
      <c r="Y26" s="177" t="s">
        <v>425</v>
      </c>
      <c r="Z26" s="177" t="s">
        <v>425</v>
      </c>
      <c r="AA26" s="177" t="s">
        <v>425</v>
      </c>
      <c r="AB26" s="179">
        <f>SUM(AB27:AB86)</f>
        <v>11020.55</v>
      </c>
      <c r="AC26" s="177" t="s">
        <v>425</v>
      </c>
      <c r="AD26" s="179">
        <f>SUM(AD27:AD86)</f>
        <v>13224.66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11020.554240000001</v>
      </c>
      <c r="AY26" s="179">
        <f t="shared" si="46"/>
        <v>13224.66509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7200</v>
      </c>
      <c r="Q27" s="214" t="s">
        <v>511</v>
      </c>
      <c r="R27" s="215">
        <v>7200.07096</v>
      </c>
      <c r="S27" s="214" t="s">
        <v>512</v>
      </c>
      <c r="T27" s="214" t="s">
        <v>512</v>
      </c>
      <c r="U27" s="214">
        <v>3</v>
      </c>
      <c r="V27" s="214">
        <v>2</v>
      </c>
      <c r="W27" s="214" t="s">
        <v>513</v>
      </c>
      <c r="X27" s="214" t="s">
        <v>514</v>
      </c>
      <c r="Y27" s="214" t="s">
        <v>425</v>
      </c>
      <c r="Z27" s="214">
        <v>2</v>
      </c>
      <c r="AA27" s="214" t="s">
        <v>515</v>
      </c>
      <c r="AB27" s="215">
        <v>6850</v>
      </c>
      <c r="AC27" s="214" t="s">
        <v>516</v>
      </c>
      <c r="AD27" s="215">
        <v>8220</v>
      </c>
      <c r="AE27" s="291">
        <f>IF(IFERROR(AD27-AY27,"нд")&lt;0,0,IFERROR(AD27-AY27,"нд"))</f>
        <v>0</v>
      </c>
      <c r="AF27" s="214">
        <v>32413525443</v>
      </c>
      <c r="AG27" s="214" t="s">
        <v>517</v>
      </c>
      <c r="AH27" s="214" t="s">
        <v>518</v>
      </c>
      <c r="AI27" s="216">
        <v>45412</v>
      </c>
      <c r="AJ27" s="216">
        <v>45401</v>
      </c>
      <c r="AK27" s="216">
        <v>45418</v>
      </c>
      <c r="AL27" s="216">
        <v>45442</v>
      </c>
      <c r="AM27" s="214" t="s">
        <v>425</v>
      </c>
      <c r="AN27" s="214" t="s">
        <v>425</v>
      </c>
      <c r="AO27" s="214" t="s">
        <v>425</v>
      </c>
      <c r="AP27" s="214" t="s">
        <v>425</v>
      </c>
      <c r="AQ27" s="216">
        <v>45473</v>
      </c>
      <c r="AR27" s="216">
        <v>45462</v>
      </c>
      <c r="AS27" s="216">
        <v>45473</v>
      </c>
      <c r="AT27" s="216">
        <v>45462</v>
      </c>
      <c r="AU27" s="216">
        <v>45657</v>
      </c>
      <c r="AV27" s="214" t="s">
        <v>425</v>
      </c>
      <c r="AW27" s="214" t="s">
        <v>425</v>
      </c>
      <c r="AX27" s="217">
        <v>6850</v>
      </c>
      <c r="AY27" s="217">
        <v>8220</v>
      </c>
      <c r="AZ27" s="215" t="s">
        <v>519</v>
      </c>
      <c r="BA27" s="215" t="s">
        <v>508</v>
      </c>
      <c r="BB27" s="215" t="s">
        <v>520</v>
      </c>
      <c r="BC27" s="215" t="s">
        <v>521</v>
      </c>
      <c r="BD27" s="215" t="str">
        <f>CONCATENATE(BB27,", ",BA27,", ",N27,", ","договор № ",BC27)</f>
        <v>ООО "КИЭ", СМР, Выполнение строительно-монтажных работ по проекту "Реконструкция заземляющего устройства ПС 220 кВ Урожай" (в части 3 этапа), договор № ИП-24-00131 от 19.06.2024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510</v>
      </c>
      <c r="P28" s="215">
        <v>4415.1384500000004</v>
      </c>
      <c r="Q28" s="214" t="s">
        <v>511</v>
      </c>
      <c r="R28" s="215">
        <v>4415.1400000000003</v>
      </c>
      <c r="S28" s="214" t="s">
        <v>512</v>
      </c>
      <c r="T28" s="214" t="s">
        <v>512</v>
      </c>
      <c r="U28" s="214">
        <v>3</v>
      </c>
      <c r="V28" s="214">
        <v>1</v>
      </c>
      <c r="W28" s="214" t="s">
        <v>524</v>
      </c>
      <c r="X28" s="214">
        <v>4180.55</v>
      </c>
      <c r="Y28" s="214" t="s">
        <v>525</v>
      </c>
      <c r="Z28" s="214">
        <v>1</v>
      </c>
      <c r="AA28" s="214">
        <v>4170.55</v>
      </c>
      <c r="AB28" s="215">
        <v>4170.55</v>
      </c>
      <c r="AC28" s="214" t="s">
        <v>520</v>
      </c>
      <c r="AD28" s="215">
        <v>5004.66</v>
      </c>
      <c r="AE28" s="291">
        <f t="shared" ref="AE28:AE86" si="49">IF(IFERROR(AD28-AY28,"нд")&lt;0,0,IFERROR(AD28-AY28,"нд"))</f>
        <v>0</v>
      </c>
      <c r="AF28" s="214">
        <v>32211408684</v>
      </c>
      <c r="AG28" s="214" t="s">
        <v>517</v>
      </c>
      <c r="AH28" s="214" t="s">
        <v>518</v>
      </c>
      <c r="AI28" s="216">
        <v>44712</v>
      </c>
      <c r="AJ28" s="216">
        <v>44705</v>
      </c>
      <c r="AK28" s="216">
        <v>44735</v>
      </c>
      <c r="AL28" s="216">
        <v>44750</v>
      </c>
      <c r="AM28" s="214" t="s">
        <v>425</v>
      </c>
      <c r="AN28" s="214" t="s">
        <v>425</v>
      </c>
      <c r="AO28" s="214" t="s">
        <v>425</v>
      </c>
      <c r="AP28" s="214" t="s">
        <v>425</v>
      </c>
      <c r="AQ28" s="216">
        <v>44770</v>
      </c>
      <c r="AR28" s="216">
        <v>44770</v>
      </c>
      <c r="AS28" s="216">
        <v>44770</v>
      </c>
      <c r="AT28" s="216">
        <v>44770</v>
      </c>
      <c r="AU28" s="216">
        <v>45290</v>
      </c>
      <c r="AV28" s="214" t="s">
        <v>425</v>
      </c>
      <c r="AW28" s="214" t="s">
        <v>425</v>
      </c>
      <c r="AX28" s="215">
        <v>4170.5542400000004</v>
      </c>
      <c r="AY28" s="215">
        <v>5004.6650900000004</v>
      </c>
      <c r="AZ28" s="215" t="s">
        <v>519</v>
      </c>
      <c r="BA28" s="215" t="s">
        <v>508</v>
      </c>
      <c r="BB28" s="215" t="s">
        <v>520</v>
      </c>
      <c r="BC28" s="215" t="s">
        <v>526</v>
      </c>
      <c r="BD28" s="215" t="str">
        <f t="shared" ref="BD28:BD86" si="50">CONCATENATE(BB28,", ",BA28,", ",N28,", ","договор № ",BC28)</f>
        <v>ООО "КИЭ", СМР, 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 договор № ИП-22-00193 от 28.07.2022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M_00.0026.000026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заземляющего устройства ПС 220 кв Урожай</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538</v>
      </c>
    </row>
    <row r="22" spans="1:2" x14ac:dyDescent="0.25">
      <c r="A22" s="157" t="s">
        <v>306</v>
      </c>
      <c r="B22" s="157" t="s">
        <v>543</v>
      </c>
    </row>
    <row r="23" spans="1:2" x14ac:dyDescent="0.25">
      <c r="A23" s="157" t="s">
        <v>288</v>
      </c>
      <c r="B23" s="157" t="s">
        <v>529</v>
      </c>
    </row>
    <row r="24" spans="1:2" x14ac:dyDescent="0.25">
      <c r="A24" s="157" t="s">
        <v>307</v>
      </c>
      <c r="B24" s="157" t="s">
        <v>425</v>
      </c>
    </row>
    <row r="25" spans="1:2" x14ac:dyDescent="0.25">
      <c r="A25" s="158" t="s">
        <v>308</v>
      </c>
      <c r="B25" s="175">
        <v>45656</v>
      </c>
    </row>
    <row r="26" spans="1:2" x14ac:dyDescent="0.25">
      <c r="A26" s="158" t="s">
        <v>309</v>
      </c>
      <c r="B26" s="160" t="s">
        <v>542</v>
      </c>
    </row>
    <row r="27" spans="1:2" x14ac:dyDescent="0.25">
      <c r="A27" s="160" t="str">
        <f>CONCATENATE("Стоимость проекта в прогнозных ценах, млн. руб. с НДС")</f>
        <v>Стоимость проекта в прогнозных ценах, млн. руб. с НДС</v>
      </c>
      <c r="B27" s="171">
        <v>14.308557112793999</v>
      </c>
    </row>
    <row r="28" spans="1:2" ht="93.75" customHeight="1" x14ac:dyDescent="0.25">
      <c r="A28" s="159" t="s">
        <v>310</v>
      </c>
      <c r="B28" s="162" t="s">
        <v>530</v>
      </c>
    </row>
    <row r="29" spans="1:2" ht="28.5" x14ac:dyDescent="0.25">
      <c r="A29" s="160" t="s">
        <v>311</v>
      </c>
      <c r="B29" s="171">
        <f>'7. Паспорт отчет о закупке'!$AB$26*1.2/1000</f>
        <v>13.224659999999998</v>
      </c>
    </row>
    <row r="30" spans="1:2" ht="28.5" x14ac:dyDescent="0.25">
      <c r="A30" s="160" t="s">
        <v>312</v>
      </c>
      <c r="B30" s="171">
        <f>'7. Паспорт отчет о закупке'!$AD$26/1000</f>
        <v>13.22466</v>
      </c>
    </row>
    <row r="31" spans="1:2" x14ac:dyDescent="0.25">
      <c r="A31" s="159" t="s">
        <v>313</v>
      </c>
      <c r="B31" s="161"/>
    </row>
    <row r="32" spans="1:2" ht="28.5" x14ac:dyDescent="0.25">
      <c r="A32" s="160" t="s">
        <v>314</v>
      </c>
      <c r="B32" s="171">
        <f>SUM(SUMIF(B33,"&gt;0",B33),SUMIF(B37,"&gt;0",B37),SUMIF(B41,"&gt;0",B41),SUMIF(B45,"&gt;0",B45),SUMIF(B49,"&gt;0",B49),SUMIF(B53,"&gt;0",B53))</f>
        <v>13.22466</v>
      </c>
    </row>
    <row r="33" spans="1:2" ht="30" x14ac:dyDescent="0.25">
      <c r="A33" s="168" t="s">
        <v>433</v>
      </c>
      <c r="B33" s="161">
        <f>IFERROR(IF(VLOOKUP(1,'7. Паспорт отчет о закупке'!$A$27:$CD$86,52,0)="ИП",VLOOKUP(1,'7. Паспорт отчет о закупке'!$A$27:$CD$86,30,0)/1000,"нд"),"нд")</f>
        <v>8.2200000000000006</v>
      </c>
    </row>
    <row r="34" spans="1:2" x14ac:dyDescent="0.25">
      <c r="A34" s="168" t="s">
        <v>315</v>
      </c>
      <c r="B34" s="161">
        <f>IF(B33="нд","нд",$B33/$B$27*100)</f>
        <v>57.448140544164907</v>
      </c>
    </row>
    <row r="35" spans="1:2" x14ac:dyDescent="0.25">
      <c r="A35" s="168" t="s">
        <v>316</v>
      </c>
      <c r="B35" s="161">
        <f>IF(VLOOKUP(1,'7. Паспорт отчет о закупке'!$A$27:$CD$86,52,0)="ИП",VLOOKUP(1,'7. Паспорт отчет о закупке'!$A$27:$CD$86,51,0)/1000,"нд")</f>
        <v>8.2200000000000006</v>
      </c>
    </row>
    <row r="36" spans="1:2" x14ac:dyDescent="0.25">
      <c r="A36" s="168" t="s">
        <v>437</v>
      </c>
      <c r="B36" s="161">
        <f>IF(VLOOKUP(1,'7. Паспорт отчет о закупке'!$A$27:$CD$86,52,0)="ИП",VLOOKUP(1,'7. Паспорт отчет о закупке'!$A$27:$CD$86,50,0)/1000,"нд")</f>
        <v>6.85</v>
      </c>
    </row>
    <row r="37" spans="1:2" ht="30" x14ac:dyDescent="0.25">
      <c r="A37" s="168" t="s">
        <v>433</v>
      </c>
      <c r="B37" s="161">
        <f>IF(VLOOKUP(2,'7. Паспорт отчет о закупке'!$A$27:$CD$86,52,0)="ИП",VLOOKUP(2,'7. Паспорт отчет о закупке'!$A$27:$CD$86,30,0)/1000,"нд")</f>
        <v>5.0046599999999994</v>
      </c>
    </row>
    <row r="38" spans="1:2" x14ac:dyDescent="0.25">
      <c r="A38" s="168" t="s">
        <v>315</v>
      </c>
      <c r="B38" s="161">
        <f>IF(B37="нд","нд",$B37/$B$27*100)</f>
        <v>34.976692342549917</v>
      </c>
    </row>
    <row r="39" spans="1:2" x14ac:dyDescent="0.25">
      <c r="A39" s="168" t="s">
        <v>316</v>
      </c>
      <c r="B39" s="161">
        <f>IF(VLOOKUP(2,'7. Паспорт отчет о закупке'!$A$27:$CD$86,52,0)="ИП",VLOOKUP(2,'7. Паспорт отчет о закупке'!$A$27:$CD$86,51,0)/1000,"нд")</f>
        <v>5.0046650900000005</v>
      </c>
    </row>
    <row r="40" spans="1:2" x14ac:dyDescent="0.25">
      <c r="A40" s="168" t="s">
        <v>437</v>
      </c>
      <c r="B40" s="161">
        <f>IF(VLOOKUP(2,'7. Паспорт отчет о закупке'!$A$27:$CD$86,52,0)="ИП",VLOOKUP(2,'7. Паспорт отчет о закупке'!$A$27:$CD$86,50,0)/1000,"нд")</f>
        <v>4.1705542400000004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92.424832886714825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5.0046650900000014</v>
      </c>
    </row>
    <row r="90" spans="1:7" x14ac:dyDescent="0.25">
      <c r="A90" s="158" t="s">
        <v>436</v>
      </c>
      <c r="B90" s="171">
        <f>IFERROR(SUM(B91*1.2/$B$27*100),0)</f>
        <v>34.976727901690928</v>
      </c>
    </row>
    <row r="91" spans="1:7" x14ac:dyDescent="0.25">
      <c r="A91" s="158" t="s">
        <v>441</v>
      </c>
      <c r="B91" s="171">
        <f>'6.2. Паспорт фин осв ввод'!D34-'6.2. Паспорт фин осв ввод'!E34</f>
        <v>4.1705542400000004</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"КИЭ", СМР, Выполнение строительно-монтажных работ по проекту "Реконструкция заземляющего устройства ПС 220 кВ Урожай" (в части 3 этапа), договор № ИП-24-00131 от 19.06.2024
ООО "КИЭ", СМР, 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 договор № ИП-22-00193 от 28.07.2022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M_00.0026.000026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заземляющего устройства ПС 220 кв Урожай</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M_00.0026.000026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заземляющего устройства ПС 220 кв Урожай</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заземляющего устройства ПС 220 кв Урожай</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M_00.0026.000026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заземляющего устройства ПС 220 кв Урожай</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M_00.0026.000026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заземляющего устройства ПС 220 кв Урожай</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M_00.0026.000026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заземляющего устройства ПС 220 кв Урожай</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M_00.0026.000026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заземляющего устройства ПС 220 кв Урожай</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4" sqref="A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M_00.0026.000026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заземляющего устройства ПС 220 кв Урожай</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44924</v>
      </c>
      <c r="E25" s="255">
        <v>44710</v>
      </c>
      <c r="F25" s="255">
        <v>45282</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44770</v>
      </c>
      <c r="E31" s="255">
        <v>44710</v>
      </c>
      <c r="F31" s="255">
        <v>44770</v>
      </c>
      <c r="G31" s="260">
        <v>1</v>
      </c>
      <c r="H31" s="260" t="s">
        <v>547</v>
      </c>
      <c r="I31" s="257" t="s">
        <v>425</v>
      </c>
      <c r="J31" s="257" t="s">
        <v>425</v>
      </c>
    </row>
    <row r="32" spans="1:12" x14ac:dyDescent="0.25">
      <c r="A32" s="257" t="s">
        <v>465</v>
      </c>
      <c r="B32" s="258" t="s">
        <v>466</v>
      </c>
      <c r="C32" s="255">
        <v>44830</v>
      </c>
      <c r="D32" s="255">
        <v>44924</v>
      </c>
      <c r="E32" s="255">
        <v>44830</v>
      </c>
      <c r="F32" s="255">
        <v>45282</v>
      </c>
      <c r="G32" s="260">
        <v>1</v>
      </c>
      <c r="H32" s="260" t="s">
        <v>547</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44830</v>
      </c>
      <c r="D37" s="255">
        <v>44924</v>
      </c>
      <c r="E37" s="255">
        <v>44890</v>
      </c>
      <c r="F37" s="255">
        <v>45282</v>
      </c>
      <c r="G37" s="260">
        <v>1</v>
      </c>
      <c r="H37" s="260" t="s">
        <v>547</v>
      </c>
      <c r="I37" s="257" t="s">
        <v>425</v>
      </c>
      <c r="J37" s="257" t="s">
        <v>425</v>
      </c>
    </row>
    <row r="38" spans="1:10" ht="31.5" x14ac:dyDescent="0.25">
      <c r="A38" s="252">
        <v>2</v>
      </c>
      <c r="B38" s="254" t="s">
        <v>502</v>
      </c>
      <c r="C38" s="255" t="s">
        <v>425</v>
      </c>
      <c r="D38" s="255" t="s">
        <v>425</v>
      </c>
      <c r="E38" s="255">
        <v>44710</v>
      </c>
      <c r="F38" s="255">
        <v>45462</v>
      </c>
      <c r="G38" s="261">
        <v>1</v>
      </c>
      <c r="H38" s="261">
        <v>1</v>
      </c>
      <c r="I38" s="252" t="s">
        <v>425</v>
      </c>
      <c r="J38" s="252" t="s">
        <v>425</v>
      </c>
    </row>
    <row r="39" spans="1:10" ht="31.5" x14ac:dyDescent="0.25">
      <c r="A39" s="262" t="s">
        <v>477</v>
      </c>
      <c r="B39" s="258" t="s">
        <v>478</v>
      </c>
      <c r="C39" s="255">
        <v>44562</v>
      </c>
      <c r="D39" s="255">
        <v>44770</v>
      </c>
      <c r="E39" s="255">
        <v>44710</v>
      </c>
      <c r="F39" s="255">
        <v>45462</v>
      </c>
      <c r="G39" s="263">
        <v>1</v>
      </c>
      <c r="H39" s="263" t="s">
        <v>547</v>
      </c>
      <c r="I39" s="257" t="s">
        <v>425</v>
      </c>
      <c r="J39" s="257" t="s">
        <v>425</v>
      </c>
    </row>
    <row r="40" spans="1:10" x14ac:dyDescent="0.25">
      <c r="A40" s="262" t="s">
        <v>479</v>
      </c>
      <c r="B40" s="258" t="s">
        <v>480</v>
      </c>
      <c r="C40" s="255" t="s">
        <v>425</v>
      </c>
      <c r="D40" s="255" t="s">
        <v>425</v>
      </c>
      <c r="E40" s="255" t="s">
        <v>425</v>
      </c>
      <c r="F40" s="255" t="s">
        <v>425</v>
      </c>
      <c r="G40" s="263" t="s">
        <v>425</v>
      </c>
      <c r="H40" s="263" t="s">
        <v>425</v>
      </c>
      <c r="I40" s="257" t="s">
        <v>425</v>
      </c>
      <c r="J40" s="257" t="s">
        <v>425</v>
      </c>
    </row>
    <row r="41" spans="1:10" x14ac:dyDescent="0.25">
      <c r="A41" s="252">
        <v>3</v>
      </c>
      <c r="B41" s="254" t="s">
        <v>481</v>
      </c>
      <c r="C41" s="255">
        <v>45017</v>
      </c>
      <c r="D41" s="255">
        <v>45217</v>
      </c>
      <c r="E41" s="255">
        <v>44890</v>
      </c>
      <c r="F41" s="255">
        <v>45590</v>
      </c>
      <c r="G41" s="261">
        <v>1</v>
      </c>
      <c r="H41" s="261">
        <v>1</v>
      </c>
      <c r="I41" s="252" t="s">
        <v>425</v>
      </c>
      <c r="J41" s="252" t="s">
        <v>425</v>
      </c>
    </row>
    <row r="42" spans="1:10" x14ac:dyDescent="0.25">
      <c r="A42" s="257" t="s">
        <v>482</v>
      </c>
      <c r="B42" s="258" t="s">
        <v>483</v>
      </c>
      <c r="C42" s="255">
        <v>45017</v>
      </c>
      <c r="D42" s="255">
        <v>45207</v>
      </c>
      <c r="E42" s="255">
        <v>44890</v>
      </c>
      <c r="F42" s="255">
        <v>45590</v>
      </c>
      <c r="G42" s="263">
        <v>1</v>
      </c>
      <c r="H42" s="263" t="s">
        <v>547</v>
      </c>
      <c r="I42" s="257" t="s">
        <v>425</v>
      </c>
      <c r="J42" s="257" t="s">
        <v>425</v>
      </c>
    </row>
    <row r="43" spans="1:10" x14ac:dyDescent="0.25">
      <c r="A43" s="257" t="s">
        <v>484</v>
      </c>
      <c r="B43" s="258" t="s">
        <v>485</v>
      </c>
      <c r="C43" s="255" t="s">
        <v>425</v>
      </c>
      <c r="D43" s="255" t="s">
        <v>425</v>
      </c>
      <c r="E43" s="255" t="s">
        <v>425</v>
      </c>
      <c r="F43" s="255" t="s">
        <v>425</v>
      </c>
      <c r="G43" s="263" t="s">
        <v>425</v>
      </c>
      <c r="H43" s="263" t="s">
        <v>425</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45207</v>
      </c>
      <c r="D47" s="255">
        <v>45217</v>
      </c>
      <c r="E47" s="255" t="s">
        <v>425</v>
      </c>
      <c r="F47" s="255">
        <v>45590</v>
      </c>
      <c r="G47" s="263" t="s">
        <v>547</v>
      </c>
      <c r="H47" s="263" t="s">
        <v>547</v>
      </c>
      <c r="I47" s="257" t="s">
        <v>425</v>
      </c>
      <c r="J47" s="257" t="s">
        <v>425</v>
      </c>
    </row>
    <row r="48" spans="1:10" x14ac:dyDescent="0.25">
      <c r="A48" s="252">
        <v>4</v>
      </c>
      <c r="B48" s="254" t="s">
        <v>494</v>
      </c>
      <c r="C48" s="255">
        <v>45218</v>
      </c>
      <c r="D48" s="255">
        <v>45290</v>
      </c>
      <c r="E48" s="255">
        <v>44913</v>
      </c>
      <c r="F48" s="255">
        <v>45596</v>
      </c>
      <c r="G48" s="261">
        <v>1</v>
      </c>
      <c r="H48" s="261">
        <v>1</v>
      </c>
      <c r="I48" s="252" t="s">
        <v>425</v>
      </c>
      <c r="J48" s="252" t="s">
        <v>425</v>
      </c>
    </row>
    <row r="49" spans="1:10" x14ac:dyDescent="0.25">
      <c r="A49" s="257" t="s">
        <v>495</v>
      </c>
      <c r="B49" s="258" t="s">
        <v>496</v>
      </c>
      <c r="C49" s="255" t="s">
        <v>425</v>
      </c>
      <c r="D49" s="255" t="s">
        <v>425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45218</v>
      </c>
      <c r="D53" s="255">
        <v>45290</v>
      </c>
      <c r="E53" s="255">
        <v>44913</v>
      </c>
      <c r="F53" s="255">
        <v>45596</v>
      </c>
      <c r="G53" s="263" t="s">
        <v>547</v>
      </c>
      <c r="H53" s="263" t="s">
        <v>547</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2025-02-13T07:58:29Z</dcterms:modified>
</cp:coreProperties>
</file>