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6CDCD26C-16B2-4D1F-B383-54C564CA731C}"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P27" i="15" l="1"/>
  <c r="P24" i="15" s="1"/>
  <c r="AB28" i="15"/>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27" i="5"/>
  <c r="BD55" i="5"/>
  <c r="BD40" i="5" l="1"/>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F33" i="15"/>
  <c r="AE27" i="15"/>
  <c r="AE24" i="15" s="1"/>
  <c r="D24" i="15"/>
  <c r="N27" i="15" l="1"/>
  <c r="F31" i="15"/>
  <c r="F29" i="15"/>
  <c r="Z27" i="15"/>
  <c r="Z24" i="15" s="1"/>
  <c r="R27" i="15"/>
  <c r="R24" i="15" s="1"/>
  <c r="F30" i="15"/>
  <c r="E31" i="15"/>
  <c r="E29" i="15"/>
  <c r="V27" i="15"/>
  <c r="V24" i="15" s="1"/>
  <c r="AC28" i="15"/>
  <c r="E33" i="15"/>
  <c r="AC33" i="15"/>
  <c r="N24" i="15"/>
  <c r="E30" i="15"/>
  <c r="AC30" i="15"/>
  <c r="F27" i="15" l="1"/>
  <c r="F24" i="15"/>
  <c r="AC29" i="15"/>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<sst xmlns="http://schemas.openxmlformats.org/spreadsheetml/2006/main" count="4491" uniqueCount="571">
  <si>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</si>
  <si>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</si>
  <si>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</si>
  <si>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</si>
  <si>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</si>
  <si>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</si>
  <si>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</si>
  <si>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</si>
  <si>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</si>
  <si>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</si>
  <si>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</si>
  <si>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</si>
  <si>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</si>
  <si>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</si>
  <si>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</si>
  <si>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</si>
  <si>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</si>
  <si>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</si>
  <si>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</si>
  <si>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</si>
  <si>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</si>
  <si>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</si>
  <si>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</si>
  <si>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</si>
  <si>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</si>
  <si>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</si>
  <si>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</si>
  <si>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</si>
  <si>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</si>
  <si>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</si>
  <si>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</si>
  <si>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</si>
  <si>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</si>
  <si>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</si>
  <si>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</si>
  <si>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</si>
  <si>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</si>
  <si>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</si>
  <si>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</si>
  <si>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</si>
  <si>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</si>
  <si>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</si>
  <si>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</si>
  <si>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</si>
  <si>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</si>
  <si>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</si>
  <si>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</si>
  <si>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</si>
  <si>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</si>
  <si>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</si>
  <si>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</si>
  <si>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</si>
  <si>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</si>
  <si>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</si>
  <si>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</si>
  <si>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</si>
  <si>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</si>
  <si>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</si>
  <si>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</si>
  <si>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</si>
  <si>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</si>
  <si>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</si>
  <si>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</si>
  <si>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</si>
  <si>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</si>
  <si>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</si>
  <si>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</si>
  <si>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</si>
  <si>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</si>
  <si>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</si>
  <si>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</si>
  <si>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</si>
  <si>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</si>
  <si>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</si>
  <si>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</si>
  <si>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</si>
  <si>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</si>
  <si>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</si>
  <si>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</si>
  <si>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</si>
  <si>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</si>
  <si>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</si>
  <si>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</si>
  <si>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</si>
  <si>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</si>
  <si>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</si>
  <si>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</si>
  <si>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</si>
  <si>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</si>
  <si>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</si>
  <si>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</si>
  <si>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</si>
  <si>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</si>
  <si>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</si>
  <si>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</si>
  <si>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</si>
  <si>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</si>
  <si>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</si>
  <si>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</si>
  <si>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</si>
  <si>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</si>
  <si>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</si>
  <si>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</si>
  <si>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</si>
  <si>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</si>
  <si>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</si>
  <si>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</si>
  <si>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</si>
  <si>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</si>
  <si>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</si>
  <si>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</si>
  <si>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</si>
  <si>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</si>
  <si>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</si>
  <si>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</si>
  <si>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</si>
  <si>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</si>
  <si>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</si>
  <si>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</si>
  <si>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</si>
  <si>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</si>
  <si>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</si>
  <si>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</si>
  <si>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</si>
  <si>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</si>
  <si>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</si>
  <si>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</si>
  <si>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</si>
  <si>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</si>
  <si>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</si>
  <si>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</si>
  <si>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</si>
  <si>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</si>
  <si>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</si>
  <si>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</si>
  <si>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</si>
  <si>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</si>
  <si>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</si>
  <si>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</si>
  <si>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</si>
  <si>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</si>
  <si>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</si>
  <si>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</si>
  <si>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</si>
  <si>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</si>
  <si>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</si>
  <si>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</si>
  <si>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</si>
  <si>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</si>
  <si>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</si>
  <si>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</si>
  <si>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</si>
  <si>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</si>
  <si>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</si>
  <si>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</si>
  <si>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</si>
  <si>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</si>
  <si>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</si>
  <si>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</si>
  <si>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</si>
  <si>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</si>
  <si>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</si>
  <si>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</si>
  <si>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</si>
  <si>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</si>
  <si>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</si>
  <si>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</si>
  <si>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</si>
  <si>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</si>
  <si>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</si>
  <si>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</si>
  <si>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</si>
  <si>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</si>
  <si>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</si>
  <si>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</si>
  <si>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</si>
  <si>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</si>
  <si>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</si>
  <si>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</si>
  <si>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</si>
  <si>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</si>
  <si>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</si>
  <si>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</si>
  <si>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</si>
  <si>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</si>
  <si>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</si>
  <si>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</si>
  <si>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</si>
  <si>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</si>
  <si>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</si>
  <si>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</si>
  <si>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</si>
  <si>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</si>
  <si>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</si>
  <si>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</si>
  <si>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</si>
  <si>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</si>
  <si>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</si>
  <si>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</si>
  <si>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</si>
  <si>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</si>
  <si>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</si>
  <si>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</si>
  <si>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</si>
  <si>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</si>
  <si>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</si>
  <si>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</si>
  <si>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</si>
  <si>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</si>
  <si>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</si>
  <si>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</si>
  <si>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</si>
  <si>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</si>
  <si>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</si>
  <si>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</si>
  <si>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</si>
  <si>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</si>
  <si>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</si>
  <si>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</si>
  <si>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</si>
  <si>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</si>
  <si>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</si>
  <si>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</si>
  <si>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</si>
  <si>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</si>
  <si>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</si>
  <si>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</si>
  <si>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</si>
  <si>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</si>
  <si>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</si>
  <si>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</si>
  <si>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</si>
  <si>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</si>
  <si>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</si>
  <si>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</si>
  <si>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</si>
  <si>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</si>
  <si>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</si>
  <si>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</si>
  <si>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</si>
  <si>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</si>
  <si>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</si>
  <si>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</si>
  <si>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</si>
  <si>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</si>
  <si>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</si>
  <si>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</si>
  <si>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</si>
  <si>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</si>
  <si>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</si>
  <si>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</si>
  <si>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</si>
  <si>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</si>
  <si>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</si>
  <si>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</si>
  <si>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</si>
  <si>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</si>
  <si>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</si>
  <si>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</si>
  <si>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</si>
  <si>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</si>
  <si>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</si>
  <si>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</si>
  <si>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</si>
  <si>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</si>
  <si>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</si>
  <si>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</si>
  <si>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</si>
  <si>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</si>
  <si>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</si>
  <si>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</si>
  <si>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</si>
  <si>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</si>
  <si>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</si>
  <si>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</si>
  <si>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</si>
  <si>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</si>
  <si>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</si>
  <si>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</si>
  <si>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</si>
  <si>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</si>
  <si>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</si>
  <si>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</si>
  <si>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</si>
  <si>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</si>
  <si>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</si>
  <si>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</si>
  <si>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</si>
  <si>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</si>
  <si>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</si>
  <si>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</si>
  <si>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</si>
  <si>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</si>
  <si>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</si>
  <si>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</si>
  <si>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</si>
  <si>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</si>
  <si>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</si>
  <si>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</si>
  <si>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</si>
  <si>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</si>
  <si>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</si>
  <si>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</si>
  <si>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</si>
  <si>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</si>
  <si>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</si>
  <si>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</si>
  <si>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</si>
  <si>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</si>
  <si>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</si>
  <si>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</si>
  <si>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</si>
  <si>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</si>
  <si>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</si>
  <si>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</si>
  <si>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</si>
  <si>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</si>
  <si>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</si>
  <si>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</si>
  <si>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</si>
  <si>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</si>
  <si>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</si>
  <si>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</si>
  <si>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</si>
  <si>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</si>
  <si>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</si>
  <si>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</si>
  <si>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</si>
  <si>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</si>
  <si>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</si>
  <si>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</si>
  <si>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</si>
  <si>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</si>
  <si>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</si>
  <si>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</si>
  <si>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</si>
  <si>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</si>
  <si>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</si>
  <si>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</si>
  <si>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</si>
  <si>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</si>
  <si>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</si>
  <si>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</si>
  <si>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</si>
  <si>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</si>
  <si>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</si>
  <si>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</si>
  <si>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</si>
  <si>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</si>
  <si>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</si>
  <si>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</si>
  <si>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</si>
  <si>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</si>
  <si>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</si>
  <si>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</si>
  <si>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</si>
  <si>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</si>
  <si>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</si>
  <si>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</si>
  <si>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</si>
  <si>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</si>
  <si>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</si>
  <si>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</si>
  <si>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</si>
  <si>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</si>
  <si>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</si>
  <si>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</si>
  <si>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</si>
  <si>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</si>
  <si>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</si>
  <si>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</si>
  <si>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</si>
  <si>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</si>
  <si>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</si>
  <si>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</si>
  <si>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</si>
  <si>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</si>
  <si>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</si>
  <si>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</si>
  <si>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</si>
  <si>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</si>
  <si>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</si>
  <si>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</si>
  <si>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</si>
  <si>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</si>
  <si>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</si>
  <si>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</si>
  <si>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</si>
  <si>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</si>
  <si>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</si>
  <si>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</si>
  <si>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</si>
  <si>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</si>
  <si>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</si>
  <si>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</si>
  <si>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</si>
  <si>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</si>
  <si>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</si>
  <si>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</si>
  <si>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</si>
  <si>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</si>
  <si>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</si>
  <si>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</si>
  <si>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</si>
  <si>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</si>
  <si>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</si>
  <si>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</si>
  <si>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</si>
  <si>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</si>
  <si>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</si>
  <si>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</si>
  <si>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</si>
  <si>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</si>
  <si>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</si>
  <si>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</si>
  <si>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</si>
  <si>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</si>
  <si>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</si>
  <si>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</si>
  <si>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</si>
  <si>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</si>
  <si>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</si>
  <si>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</si>
  <si>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</si>
  <si>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</si>
  <si>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</si>
  <si>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</si>
  <si>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</si>
  <si>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</si>
  <si>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</si>
  <si>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</si>
  <si>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</si>
  <si>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</si>
  <si>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</si>
  <si>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</si>
  <si>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</si>
  <si>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</si>
  <si>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</si>
  <si>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</si>
  <si>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</si>
  <si>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</si>
  <si>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</si>
  <si>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</si>
  <si>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</si>
  <si>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M_00.0018.000018</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</si>
  <si>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</si>
  <si>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</si>
  <si>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</si>
  <si>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</si>
  <si>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</si>
  <si>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</si>
  <si>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</si>
  <si>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</si>
  <si>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</si>
  <si>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</si>
  <si>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</si>
  <si>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</si>
  <si>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</si>
  <si>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</si>
  <si>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</si>
  <si>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</si>
  <si>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</si>
  <si>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</si>
  <si>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</si>
  <si>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</si>
  <si>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</si>
  <si>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</si>
  <si>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</si>
  <si>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</si>
  <si>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</si>
  <si>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</si>
  <si>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</si>
  <si>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</si>
  <si>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</si>
  <si>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</si>
  <si>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</si>
  <si>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</si>
  <si>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</si>
  <si>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</si>
  <si>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</si>
  <si>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</si>
  <si>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</si>
  <si>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</si>
  <si>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</si>
  <si>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</si>
  <si>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</si>
  <si>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</si>
  <si>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</si>
  <si>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</si>
  <si>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</si>
  <si>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</si>
  <si>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</si>
  <si>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</si>
  <si>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</si>
  <si>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</si>
  <si>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</si>
  <si>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</si>
  <si>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</si>
  <si>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</si>
  <si>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</si>
  <si>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</si>
  <si>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</si>
  <si>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</si>
  <si>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</si>
  <si>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</si>
  <si>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</si>
  <si>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</si>
  <si>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</si>
  <si>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</si>
  <si>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</si>
  <si>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</si>
  <si>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по факту разработки проектно-сметной документации, связанного с ростом стоимости отечественного оборудования.</t>
  </si>
  <si>
    <t>ТМЦ</t>
  </si>
  <si>
    <t>Поставка батареи аккумуляторной и зарядно-выпрямительного устройства</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</si>
  <si>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</si>
  <si>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</si>
  <si>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</si>
  <si>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"ГК ЛИТИОН";
ОБЩЕСТВО С ОГРАНИЧЕННОЙ ОТВЕТСТВЕННОСТЬЮ "ГРУППА ЭНЭЛТ";
ОБЩЕСТВО С ОГРАНИЧЕННОЙ ОТВЕТСТВЕННОСТЬЮ "ПРЕОРА";
ОБЩЕСТВО С ОГРАНИЧЕННОЙ ОТВЕТСТВЕННОСТЬЮ ПРОИЗВОДСТВЕННАЯ КОМПАНИЯ "ЭЛЕКТРОКОНЦЕПТ";
ОБЩЕСТВО С ОГРАНИЧЕННОЙ ОТВЕТСТВЕННОСТЬЮ "ФИАММ ИНДАСТРИАЛ РУС";
ОБЩЕСТВО С ОГРАНИЧЕННОЙ ОТВЕТСТВЕННОСТЬЮ "МИР АККУМУЛЯТОРОВ"
</t>
  </si>
  <si>
    <t>6 800,00;
6 899,2282;
7 572,9128;
8 259,33827;
9 225,0085;
10 416,66667</t>
  </si>
  <si>
    <t>ОБЩЕСТВО С ОГРАНИЧЕННОЙ ОТВЕТСТВЕННОСТЬЮ "ГК ЛИТИОН"</t>
  </si>
  <si>
    <t>да</t>
  </si>
  <si>
    <t>https://www.roseltorg.ru/</t>
  </si>
  <si>
    <t>ПД</t>
  </si>
  <si>
    <t>ООО "ГК ЛИТИОН"</t>
  </si>
  <si>
    <t>ПД-22-00247 от 30.12.2022</t>
  </si>
  <si>
    <t>Поставка аккумуляторной батареи и зарядно-выпрямительного устройства на ПС 220 кВ Тулинская</t>
  </si>
  <si>
    <t>Конкурс в электронной форме, участниками которого могут быть только субъекты малого и среднего предпринимательства</t>
  </si>
  <si>
    <t>-</t>
  </si>
  <si>
    <t>ПД-24-00237 от 17.10.2024</t>
  </si>
  <si>
    <t>нет</t>
  </si>
  <si>
    <t>5.7.3.4</t>
  </si>
  <si>
    <t>ЦЗК</t>
  </si>
  <si>
    <t>Протокол №27</t>
  </si>
  <si>
    <t>ПД-24-00237-ДС001 от 25.12.2024</t>
  </si>
  <si>
    <t>СМР, ПНР</t>
  </si>
  <si>
    <t>Выполнение строительно-монтажных и пуско-наладочных работ по проекту "Реконструкция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</si>
  <si>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Запрос предложений в электронной форме</t>
  </si>
  <si>
    <t>ОБЩЕСТВО С ОГРАНИЧЕННОЙ ОТВЕТСТВЕННОСТЬЮ "СОЮЗ-ЭНЕРГОРЕМОНТ"</t>
  </si>
  <si>
    <t>32514571217  </t>
  </si>
  <si>
    <t>договор на согласовании</t>
  </si>
  <si>
    <t>ИП</t>
  </si>
  <si>
    <t>СМР</t>
  </si>
  <si>
    <t>ИП-25-00134 от 17.04.2025</t>
  </si>
  <si>
    <t>ПИР, СМР, ПНР</t>
  </si>
  <si>
    <t>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t>
  </si>
  <si>
    <t>Конкурс в электронной форме</t>
  </si>
  <si>
    <t>ОБЩЕСТВО С ОГРАНИЧЕННОЙ ОТВЕТСТВЕННОСТЬЮ ПРОИЗВОДСТВЕННАЯ КОМПАНИЯ "ЭЛЕКТРОКОНЦЕПТ"</t>
  </si>
  <si>
    <t>ООО Производственная компания "Электроконцепт"</t>
  </si>
  <si>
    <t>ИП-22-00025 от 17.02.2022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</si>
  <si>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</si>
  <si>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</si>
  <si>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</si>
  <si>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</si>
  <si>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см. комментарии ниже по этапам</t>
  </si>
  <si>
    <t>Повторная закупка в связи с планируемым расторжением ранее заключенного договора</t>
  </si>
  <si>
    <t>Смещение срока обусловлено ростом стоимости по итогам согласования ПСД и необходимостью корректировки плана закупок</t>
  </si>
  <si>
    <t>г. Новосибирск</t>
  </si>
  <si>
    <t>не требуется</t>
  </si>
  <si>
    <t>не относится</t>
  </si>
  <si>
    <t>+</t>
  </si>
  <si>
    <t>55,66 МВА</t>
  </si>
  <si>
    <t>1.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</si>
  <si>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аккумуляторной батареи (АБ).
Замена зарядно-выпрямительного устройства.
Замена щита постоянного тока.</t>
  </si>
  <si>
    <t>ПС 220 кВ Тулинская</t>
  </si>
  <si>
    <t>29658,3 тыс. руб. с НДС на 1 аккумуляторную батарею, ЗВУ, ЩПТ</t>
  </si>
  <si>
    <t>Выделение этапов не предусмотрено</t>
  </si>
  <si>
    <t>1. Отчет по комплексному обследованию АБ.</t>
  </si>
  <si>
    <t>С</t>
  </si>
  <si>
    <t>Сибирский Федеральный округ, Новосибирская область, г. Новосибирск</t>
  </si>
  <si>
    <t>1;2;3</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</si>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</sst>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445</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549</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550</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556</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557</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557</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557</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557</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557</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558</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557</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557</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557</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559</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557</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59.31659090221288</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1.2698412698412698</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560</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24.770339879304991</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27.581057258305002</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M_00.0018.000018</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34.55355888862762</v>
      </c>
      <c r="D24" s="261">
        <f t="shared" ref="D24:G24" si="0">D25+D26+D27+D32+D33</f>
        <v>59.31659090221288</v>
      </c>
      <c r="E24" s="262">
        <f>J24+N24+R24+V24+Z24+AE24</f>
        <v>24.770339879304991</v>
      </c>
      <c r="F24" s="262">
        <f t="shared" ref="F24:F26" si="1">N24+R24+V24+Z24+AE24</f>
        <v>22.698383535021325</v>
      </c>
      <c r="G24" s="253">
        <f t="shared" si="0"/>
        <v>21.745851022907893</v>
      </c>
      <c r="H24" s="253">
        <f>H25+H26+H27+H32+H33</f>
        <v>22.698383535021328</v>
      </c>
      <c r="I24" s="253" t="s">
        <v>424</v>
      </c>
      <c r="J24" s="261">
        <f>J25+J26+J27+J32+J33</f>
        <v>2.071956344283667</v>
      </c>
      <c r="K24" s="261" t="s">
        <v>424</v>
      </c>
      <c r="L24" s="253">
        <f>L25+L26+L27+L32+L33</f>
        <v>0</v>
      </c>
      <c r="M24" s="253" t="s">
        <v>424</v>
      </c>
      <c r="N24" s="261">
        <f>N25+N26+N27+N32+N33</f>
        <v>22.698383535021325</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22.698383535021328</v>
      </c>
      <c r="AC24" s="264">
        <f>J24+N24+R24+V24+Z24</f>
        <v>24.770339879304991</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28.837724764104003</v>
      </c>
      <c r="D27" s="261">
        <v>38.97074390366209</v>
      </c>
      <c r="E27" s="264">
        <f>J27+N27+R27+V27+Z27+AE27</f>
        <v>20.840490394245574</v>
      </c>
      <c r="F27" s="264">
        <f t="shared" ref="F27:F68" si="8">N27+R27+V27+Z27+AE27</f>
        <v>19.107713365740153</v>
      </c>
      <c r="G27" s="253">
        <v>21.745851022907893</v>
      </c>
      <c r="H27" s="253">
        <f>SUM(H28:H31)</f>
        <v>19.392844332184595</v>
      </c>
      <c r="I27" s="253" t="s">
        <v>424</v>
      </c>
      <c r="J27" s="261">
        <f>SUM(J28:J31)</f>
        <v>1.7327770285054205</v>
      </c>
      <c r="K27" s="261" t="s">
        <v>424</v>
      </c>
      <c r="L27" s="253">
        <f>SUM(L28:L31)</f>
        <v>0</v>
      </c>
      <c r="M27" s="253" t="s">
        <v>424</v>
      </c>
      <c r="N27" s="261">
        <f>SUM(N28:N31)</f>
        <v>19.107713365740153</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19.392844332184595</v>
      </c>
      <c r="AC27" s="264">
        <f t="shared" si="7"/>
        <v>20.840490394245574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15.920225596253115</v>
      </c>
      <c r="F29" s="264">
        <f t="shared" si="8"/>
        <v>15.920225596253115</v>
      </c>
      <c r="G29" s="254" t="s">
        <v>424</v>
      </c>
      <c r="H29" s="254">
        <v>16.157791924750178</v>
      </c>
      <c r="I29" s="255" t="s">
        <v>60</v>
      </c>
      <c r="J29" s="263">
        <v>0</v>
      </c>
      <c r="K29" s="265">
        <v>0</v>
      </c>
      <c r="L29" s="254">
        <v>0</v>
      </c>
      <c r="M29" s="255">
        <v>0</v>
      </c>
      <c r="N29" s="263">
        <v>15.920225596253115</v>
      </c>
      <c r="O29" s="265" t="s">
        <v>60</v>
      </c>
      <c r="P29" s="254">
        <v>0</v>
      </c>
      <c r="Q29" s="270">
        <v>0</v>
      </c>
      <c r="R29" s="263">
        <v>0</v>
      </c>
      <c r="S29" s="265">
        <v>0</v>
      </c>
      <c r="T29" s="254">
        <v>0</v>
      </c>
      <c r="U29" s="270">
        <v>0</v>
      </c>
      <c r="V29" s="263">
        <v>0</v>
      </c>
      <c r="W29" s="265">
        <v>0</v>
      </c>
      <c r="X29" s="254">
        <v>0</v>
      </c>
      <c r="Y29" s="270">
        <v>0</v>
      </c>
      <c r="Z29" s="263">
        <v>0</v>
      </c>
      <c r="AA29" s="265">
        <v>0</v>
      </c>
      <c r="AB29" s="254">
        <f t="shared" si="6"/>
        <v>16.157791924750178</v>
      </c>
      <c r="AC29" s="264">
        <f t="shared" si="7"/>
        <v>15.920225596253115</v>
      </c>
      <c r="AD29" s="204"/>
      <c r="AE29" s="274">
        <v>0</v>
      </c>
      <c r="AF29" s="276">
        <v>0</v>
      </c>
      <c r="AG29" s="278">
        <v>0</v>
      </c>
      <c r="AH29" s="278">
        <v>0</v>
      </c>
    </row>
    <row r="30" spans="1:34" x14ac:dyDescent="0.25">
      <c r="A30" s="58" t="s">
        <v>427</v>
      </c>
      <c r="B30" s="42" t="s">
        <v>164</v>
      </c>
      <c r="C30" s="255" t="s">
        <v>424</v>
      </c>
      <c r="D30" s="265" t="s">
        <v>424</v>
      </c>
      <c r="E30" s="264">
        <f t="shared" si="9"/>
        <v>2.4177594993223135</v>
      </c>
      <c r="F30" s="264">
        <f t="shared" si="8"/>
        <v>0.74221115874741606</v>
      </c>
      <c r="G30" s="254" t="s">
        <v>424</v>
      </c>
      <c r="H30" s="254">
        <v>0.75328665380790516</v>
      </c>
      <c r="I30" s="255" t="s">
        <v>60</v>
      </c>
      <c r="J30" s="263">
        <v>1.6755483405748972</v>
      </c>
      <c r="K30" s="265" t="s">
        <v>61</v>
      </c>
      <c r="L30" s="254">
        <v>0</v>
      </c>
      <c r="M30" s="255">
        <v>0</v>
      </c>
      <c r="N30" s="263">
        <v>0.74221115874741606</v>
      </c>
      <c r="O30" s="265" t="s">
        <v>60</v>
      </c>
      <c r="P30" s="254">
        <v>0</v>
      </c>
      <c r="Q30" s="254">
        <v>0</v>
      </c>
      <c r="R30" s="263">
        <v>0</v>
      </c>
      <c r="S30" s="265">
        <v>0</v>
      </c>
      <c r="T30" s="254">
        <v>0</v>
      </c>
      <c r="U30" s="254">
        <v>0</v>
      </c>
      <c r="V30" s="263">
        <v>0</v>
      </c>
      <c r="W30" s="265">
        <v>0</v>
      </c>
      <c r="X30" s="254">
        <v>0</v>
      </c>
      <c r="Y30" s="254">
        <v>0</v>
      </c>
      <c r="Z30" s="263">
        <v>0</v>
      </c>
      <c r="AA30" s="265">
        <v>0</v>
      </c>
      <c r="AB30" s="254">
        <f t="shared" si="6"/>
        <v>0.75328665380790516</v>
      </c>
      <c r="AC30" s="264">
        <f t="shared" si="7"/>
        <v>2.4177594993223135</v>
      </c>
      <c r="AD30" s="204"/>
      <c r="AE30" s="274">
        <v>0</v>
      </c>
      <c r="AF30" s="274">
        <v>0</v>
      </c>
      <c r="AG30" s="278">
        <v>0</v>
      </c>
      <c r="AH30" s="278">
        <v>0</v>
      </c>
    </row>
    <row r="31" spans="1:34" x14ac:dyDescent="0.25">
      <c r="A31" s="58" t="s">
        <v>428</v>
      </c>
      <c r="B31" s="42" t="s">
        <v>162</v>
      </c>
      <c r="C31" s="255" t="s">
        <v>424</v>
      </c>
      <c r="D31" s="265" t="s">
        <v>424</v>
      </c>
      <c r="E31" s="264">
        <f t="shared" si="9"/>
        <v>2.5025052986701475</v>
      </c>
      <c r="F31" s="264">
        <f t="shared" si="8"/>
        <v>2.445276610739624</v>
      </c>
      <c r="G31" s="254" t="s">
        <v>424</v>
      </c>
      <c r="H31" s="254">
        <v>2.4817657536265108</v>
      </c>
      <c r="I31" s="255" t="s">
        <v>569</v>
      </c>
      <c r="J31" s="263">
        <v>5.7228687930523353E-2</v>
      </c>
      <c r="K31" s="265" t="s">
        <v>570</v>
      </c>
      <c r="L31" s="254">
        <v>0</v>
      </c>
      <c r="M31" s="255">
        <v>0</v>
      </c>
      <c r="N31" s="263">
        <v>2.445276610739624</v>
      </c>
      <c r="O31" s="265" t="s">
        <v>569</v>
      </c>
      <c r="P31" s="254">
        <v>0</v>
      </c>
      <c r="Q31" s="254">
        <v>0</v>
      </c>
      <c r="R31" s="263">
        <v>0</v>
      </c>
      <c r="S31" s="265">
        <v>0</v>
      </c>
      <c r="T31" s="254">
        <v>0</v>
      </c>
      <c r="U31" s="254">
        <v>0</v>
      </c>
      <c r="V31" s="263">
        <v>0</v>
      </c>
      <c r="W31" s="265">
        <v>0</v>
      </c>
      <c r="X31" s="254">
        <v>0</v>
      </c>
      <c r="Y31" s="254">
        <v>0</v>
      </c>
      <c r="Z31" s="263">
        <v>0</v>
      </c>
      <c r="AA31" s="265">
        <v>0</v>
      </c>
      <c r="AB31" s="254">
        <f t="shared" si="6"/>
        <v>2.4817657536265108</v>
      </c>
      <c r="AC31" s="264">
        <f t="shared" si="7"/>
        <v>2.5025052986701475</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5.7158341245236191</v>
      </c>
      <c r="D33" s="263">
        <v>20.34584699855079</v>
      </c>
      <c r="E33" s="264">
        <f t="shared" si="9"/>
        <v>3.9298494850594192</v>
      </c>
      <c r="F33" s="264">
        <f t="shared" si="8"/>
        <v>3.5906701692811729</v>
      </c>
      <c r="G33" s="254">
        <v>0</v>
      </c>
      <c r="H33" s="254">
        <v>3.305539202836735</v>
      </c>
      <c r="I33" s="254" t="str">
        <f>I31</f>
        <v>1;2;3</v>
      </c>
      <c r="J33" s="263">
        <v>0.3391793157782465</v>
      </c>
      <c r="K33" s="263" t="str">
        <f>K31</f>
        <v>1;2</v>
      </c>
      <c r="L33" s="254">
        <v>0</v>
      </c>
      <c r="M33" s="254">
        <f>M31</f>
        <v>0</v>
      </c>
      <c r="N33" s="263">
        <v>3.5906701692811729</v>
      </c>
      <c r="O33" s="263" t="str">
        <f>O31</f>
        <v>1;2;3</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3.305539202836735</v>
      </c>
      <c r="AC33" s="264">
        <f t="shared" si="7"/>
        <v>3.9298494850594192</v>
      </c>
      <c r="AE33" s="274">
        <v>0</v>
      </c>
      <c r="AF33" s="274">
        <f>AF31</f>
        <v>0</v>
      </c>
      <c r="AG33" s="278">
        <v>0</v>
      </c>
      <c r="AH33" s="278">
        <v>0</v>
      </c>
    </row>
    <row r="34" spans="1:34" ht="47.25" x14ac:dyDescent="0.25">
      <c r="A34" s="60" t="s">
        <v>61</v>
      </c>
      <c r="B34" s="59" t="s">
        <v>170</v>
      </c>
      <c r="C34" s="253">
        <f>SUM(C35:C38)</f>
        <v>38.256760738305005</v>
      </c>
      <c r="D34" s="261">
        <f t="shared" ref="D34:G34" si="10">SUM(D35:D38)</f>
        <v>49.660970028304995</v>
      </c>
      <c r="E34" s="262">
        <f t="shared" si="9"/>
        <v>27.581057258305002</v>
      </c>
      <c r="F34" s="262">
        <f t="shared" si="8"/>
        <v>19.105576628305002</v>
      </c>
      <c r="G34" s="253">
        <f t="shared" si="10"/>
        <v>11.404209290000001</v>
      </c>
      <c r="H34" s="253">
        <f>SUM(H35:H38)</f>
        <v>19.105576628305002</v>
      </c>
      <c r="I34" s="253" t="s">
        <v>424</v>
      </c>
      <c r="J34" s="261">
        <f>SUM(J35:J38)</f>
        <v>8.4754806299999998</v>
      </c>
      <c r="K34" s="261" t="s">
        <v>424</v>
      </c>
      <c r="L34" s="253">
        <f>SUM(L35:L38)</f>
        <v>0</v>
      </c>
      <c r="M34" s="253" t="s">
        <v>424</v>
      </c>
      <c r="N34" s="261">
        <f>SUM(N35:N38)</f>
        <v>19.105576628305002</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19.105576628305002</v>
      </c>
      <c r="AC34" s="264">
        <f t="shared" si="7"/>
        <v>27.581057258305002</v>
      </c>
      <c r="AD34" s="204"/>
      <c r="AE34" s="273">
        <f>SUM(AE35:AE38)</f>
        <v>0</v>
      </c>
      <c r="AF34" s="273" t="s">
        <v>424</v>
      </c>
      <c r="AG34" s="278">
        <v>0</v>
      </c>
      <c r="AH34" s="278">
        <v>0</v>
      </c>
    </row>
    <row r="35" spans="1:34" x14ac:dyDescent="0.25">
      <c r="A35" s="60" t="s">
        <v>169</v>
      </c>
      <c r="B35" s="42" t="s">
        <v>168</v>
      </c>
      <c r="C35" s="254">
        <v>0</v>
      </c>
      <c r="D35" s="263">
        <v>1.1000000000000001</v>
      </c>
      <c r="E35" s="264">
        <f t="shared" si="9"/>
        <v>0</v>
      </c>
      <c r="F35" s="264">
        <f t="shared" si="8"/>
        <v>0</v>
      </c>
      <c r="G35" s="254">
        <v>1.1000000000000001</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19.626926354999998</v>
      </c>
      <c r="D36" s="263">
        <v>19.626926354999998</v>
      </c>
      <c r="E36" s="264">
        <f t="shared" si="9"/>
        <v>15.759926354999999</v>
      </c>
      <c r="F36" s="264">
        <f t="shared" si="8"/>
        <v>15.759926354999999</v>
      </c>
      <c r="G36" s="254">
        <v>0</v>
      </c>
      <c r="H36" s="254">
        <v>15.759926354999999</v>
      </c>
      <c r="I36" s="254" t="s">
        <v>60</v>
      </c>
      <c r="J36" s="263">
        <v>0</v>
      </c>
      <c r="K36" s="265">
        <v>0</v>
      </c>
      <c r="L36" s="254">
        <v>0</v>
      </c>
      <c r="M36" s="254">
        <v>0</v>
      </c>
      <c r="N36" s="263">
        <v>15.759926354999999</v>
      </c>
      <c r="O36" s="265" t="s">
        <v>60</v>
      </c>
      <c r="P36" s="254">
        <v>0</v>
      </c>
      <c r="Q36" s="255">
        <v>0</v>
      </c>
      <c r="R36" s="263">
        <v>0</v>
      </c>
      <c r="S36" s="265">
        <v>0</v>
      </c>
      <c r="T36" s="254">
        <v>0</v>
      </c>
      <c r="U36" s="255">
        <v>0</v>
      </c>
      <c r="V36" s="263">
        <v>0</v>
      </c>
      <c r="W36" s="265">
        <v>0</v>
      </c>
      <c r="X36" s="254">
        <v>0</v>
      </c>
      <c r="Y36" s="255">
        <v>0</v>
      </c>
      <c r="Z36" s="263">
        <v>0</v>
      </c>
      <c r="AA36" s="265">
        <v>0</v>
      </c>
      <c r="AB36" s="254">
        <f t="shared" si="6"/>
        <v>15.759926354999999</v>
      </c>
      <c r="AC36" s="264">
        <f t="shared" si="7"/>
        <v>15.759926354999999</v>
      </c>
      <c r="AE36" s="274">
        <v>0</v>
      </c>
      <c r="AF36" s="275">
        <v>0</v>
      </c>
      <c r="AG36" s="278">
        <v>0</v>
      </c>
      <c r="AH36" s="278">
        <v>0</v>
      </c>
    </row>
    <row r="37" spans="1:34" x14ac:dyDescent="0.25">
      <c r="A37" s="60" t="s">
        <v>165</v>
      </c>
      <c r="B37" s="42" t="s">
        <v>164</v>
      </c>
      <c r="C37" s="254">
        <v>15.942237905000002</v>
      </c>
      <c r="D37" s="263">
        <v>26.182237905000001</v>
      </c>
      <c r="E37" s="264">
        <f t="shared" si="9"/>
        <v>9.1422379050000018</v>
      </c>
      <c r="F37" s="264">
        <f t="shared" si="8"/>
        <v>0.73473790500000136</v>
      </c>
      <c r="G37" s="254">
        <v>10.24</v>
      </c>
      <c r="H37" s="254">
        <v>0.73473790500000136</v>
      </c>
      <c r="I37" s="254" t="s">
        <v>60</v>
      </c>
      <c r="J37" s="263">
        <v>8.4075000000000006</v>
      </c>
      <c r="K37" s="265" t="s">
        <v>61</v>
      </c>
      <c r="L37" s="254">
        <v>0</v>
      </c>
      <c r="M37" s="254">
        <v>0</v>
      </c>
      <c r="N37" s="263">
        <v>0.73473790500000136</v>
      </c>
      <c r="O37" s="265" t="s">
        <v>60</v>
      </c>
      <c r="P37" s="254">
        <v>0</v>
      </c>
      <c r="Q37" s="255">
        <v>0</v>
      </c>
      <c r="R37" s="263">
        <v>0</v>
      </c>
      <c r="S37" s="265">
        <v>0</v>
      </c>
      <c r="T37" s="254">
        <v>0</v>
      </c>
      <c r="U37" s="255">
        <v>0</v>
      </c>
      <c r="V37" s="263">
        <v>0</v>
      </c>
      <c r="W37" s="265">
        <v>0</v>
      </c>
      <c r="X37" s="254">
        <v>0</v>
      </c>
      <c r="Y37" s="255">
        <v>0</v>
      </c>
      <c r="Z37" s="263">
        <v>0</v>
      </c>
      <c r="AA37" s="265">
        <v>0</v>
      </c>
      <c r="AB37" s="254">
        <f t="shared" si="6"/>
        <v>0.73473790500000136</v>
      </c>
      <c r="AC37" s="264">
        <f t="shared" si="7"/>
        <v>9.1422379050000018</v>
      </c>
      <c r="AE37" s="274">
        <v>0</v>
      </c>
      <c r="AF37" s="275">
        <v>0</v>
      </c>
      <c r="AG37" s="278">
        <v>0</v>
      </c>
      <c r="AH37" s="278">
        <v>0</v>
      </c>
    </row>
    <row r="38" spans="1:34" x14ac:dyDescent="0.25">
      <c r="A38" s="60" t="s">
        <v>163</v>
      </c>
      <c r="B38" s="42" t="s">
        <v>162</v>
      </c>
      <c r="C38" s="254">
        <v>2.6875964783050001</v>
      </c>
      <c r="D38" s="263">
        <v>2.7518057683050001</v>
      </c>
      <c r="E38" s="264">
        <f t="shared" si="9"/>
        <v>2.6788929983050003</v>
      </c>
      <c r="F38" s="264">
        <f t="shared" si="8"/>
        <v>2.6109123683050002</v>
      </c>
      <c r="G38" s="254">
        <v>6.4209290000000002E-2</v>
      </c>
      <c r="H38" s="254">
        <v>2.6109123683050002</v>
      </c>
      <c r="I38" s="254" t="s">
        <v>569</v>
      </c>
      <c r="J38" s="263">
        <v>6.7980629999999931E-2</v>
      </c>
      <c r="K38" s="265" t="s">
        <v>570</v>
      </c>
      <c r="L38" s="254">
        <v>0</v>
      </c>
      <c r="M38" s="254">
        <v>0</v>
      </c>
      <c r="N38" s="263">
        <v>2.6109123683050002</v>
      </c>
      <c r="O38" s="265" t="s">
        <v>569</v>
      </c>
      <c r="P38" s="254">
        <v>0</v>
      </c>
      <c r="Q38" s="255">
        <v>0</v>
      </c>
      <c r="R38" s="263">
        <v>0</v>
      </c>
      <c r="S38" s="265">
        <v>0</v>
      </c>
      <c r="T38" s="254">
        <v>0</v>
      </c>
      <c r="U38" s="255">
        <v>0</v>
      </c>
      <c r="V38" s="263">
        <v>0</v>
      </c>
      <c r="W38" s="265">
        <v>0</v>
      </c>
      <c r="X38" s="254">
        <v>0</v>
      </c>
      <c r="Y38" s="255">
        <v>0</v>
      </c>
      <c r="Z38" s="263">
        <v>0</v>
      </c>
      <c r="AA38" s="265">
        <v>0</v>
      </c>
      <c r="AB38" s="254">
        <f t="shared" si="6"/>
        <v>2.6109123683050002</v>
      </c>
      <c r="AC38" s="264">
        <f t="shared" si="7"/>
        <v>2.6788929983050003</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7</v>
      </c>
      <c r="D46" s="263">
        <v>7</v>
      </c>
      <c r="E46" s="264">
        <f t="shared" si="9"/>
        <v>4</v>
      </c>
      <c r="F46" s="264">
        <f t="shared" si="8"/>
        <v>4</v>
      </c>
      <c r="G46" s="254">
        <v>0</v>
      </c>
      <c r="H46" s="254">
        <v>4</v>
      </c>
      <c r="I46" s="255" t="s">
        <v>59</v>
      </c>
      <c r="J46" s="263">
        <v>0</v>
      </c>
      <c r="K46" s="265">
        <v>0</v>
      </c>
      <c r="L46" s="254">
        <v>0</v>
      </c>
      <c r="M46" s="255">
        <v>0</v>
      </c>
      <c r="N46" s="263">
        <v>4</v>
      </c>
      <c r="O46" s="265" t="s">
        <v>59</v>
      </c>
      <c r="P46" s="254">
        <v>0</v>
      </c>
      <c r="Q46" s="255">
        <v>0</v>
      </c>
      <c r="R46" s="263">
        <v>0</v>
      </c>
      <c r="S46" s="265">
        <v>0</v>
      </c>
      <c r="T46" s="254">
        <v>0</v>
      </c>
      <c r="U46" s="255">
        <v>0</v>
      </c>
      <c r="V46" s="263">
        <v>0</v>
      </c>
      <c r="W46" s="265">
        <v>0</v>
      </c>
      <c r="X46" s="254">
        <v>0</v>
      </c>
      <c r="Y46" s="255">
        <v>0</v>
      </c>
      <c r="Z46" s="263">
        <v>0</v>
      </c>
      <c r="AA46" s="265">
        <v>0</v>
      </c>
      <c r="AB46" s="254">
        <f t="shared" si="6"/>
        <v>4</v>
      </c>
      <c r="AC46" s="264">
        <f t="shared" si="7"/>
        <v>4</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7</v>
      </c>
      <c r="D54" s="263">
        <v>7</v>
      </c>
      <c r="E54" s="264">
        <f t="shared" si="9"/>
        <v>4</v>
      </c>
      <c r="F54" s="264">
        <f t="shared" si="8"/>
        <v>4</v>
      </c>
      <c r="G54" s="254">
        <v>0</v>
      </c>
      <c r="H54" s="254">
        <v>4</v>
      </c>
      <c r="I54" s="255" t="s">
        <v>59</v>
      </c>
      <c r="J54" s="263">
        <v>0</v>
      </c>
      <c r="K54" s="265">
        <v>0</v>
      </c>
      <c r="L54" s="254">
        <v>0</v>
      </c>
      <c r="M54" s="255">
        <v>0</v>
      </c>
      <c r="N54" s="263">
        <v>4</v>
      </c>
      <c r="O54" s="265" t="s">
        <v>59</v>
      </c>
      <c r="P54" s="254">
        <v>0</v>
      </c>
      <c r="Q54" s="255">
        <v>0</v>
      </c>
      <c r="R54" s="263">
        <v>0</v>
      </c>
      <c r="S54" s="265">
        <v>0</v>
      </c>
      <c r="T54" s="254">
        <v>0</v>
      </c>
      <c r="U54" s="255">
        <v>0</v>
      </c>
      <c r="V54" s="263">
        <v>0</v>
      </c>
      <c r="W54" s="265">
        <v>0</v>
      </c>
      <c r="X54" s="254">
        <v>0</v>
      </c>
      <c r="Y54" s="255">
        <v>0</v>
      </c>
      <c r="Z54" s="263">
        <v>0</v>
      </c>
      <c r="AA54" s="265">
        <v>0</v>
      </c>
      <c r="AB54" s="254">
        <f t="shared" si="6"/>
        <v>4</v>
      </c>
      <c r="AC54" s="264">
        <f t="shared" si="7"/>
        <v>4</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28.885411269378746</v>
      </c>
      <c r="D56" s="263">
        <v>49.660970028305002</v>
      </c>
      <c r="E56" s="264">
        <f t="shared" si="9"/>
        <v>38.985266548305006</v>
      </c>
      <c r="F56" s="264">
        <f t="shared" si="8"/>
        <v>38.985266548305006</v>
      </c>
      <c r="G56" s="254">
        <v>0</v>
      </c>
      <c r="H56" s="254">
        <v>18.209707789378744</v>
      </c>
      <c r="I56" s="255" t="s">
        <v>59</v>
      </c>
      <c r="J56" s="263">
        <v>0</v>
      </c>
      <c r="K56" s="265">
        <v>0</v>
      </c>
      <c r="L56" s="254">
        <v>0</v>
      </c>
      <c r="M56" s="255">
        <v>0</v>
      </c>
      <c r="N56" s="263">
        <v>38.985266548305006</v>
      </c>
      <c r="O56" s="265" t="s">
        <v>59</v>
      </c>
      <c r="P56" s="254">
        <v>0</v>
      </c>
      <c r="Q56" s="255">
        <v>0</v>
      </c>
      <c r="R56" s="263">
        <v>0</v>
      </c>
      <c r="S56" s="265">
        <v>0</v>
      </c>
      <c r="T56" s="254">
        <v>0</v>
      </c>
      <c r="U56" s="255">
        <v>0</v>
      </c>
      <c r="V56" s="263">
        <v>0</v>
      </c>
      <c r="W56" s="265">
        <v>0</v>
      </c>
      <c r="X56" s="254">
        <v>0</v>
      </c>
      <c r="Y56" s="255">
        <v>0</v>
      </c>
      <c r="Z56" s="263">
        <v>0</v>
      </c>
      <c r="AA56" s="265">
        <v>0</v>
      </c>
      <c r="AB56" s="254">
        <f t="shared" si="6"/>
        <v>18.209707789378744</v>
      </c>
      <c r="AC56" s="264">
        <f t="shared" si="7"/>
        <v>38.985266548305006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7</v>
      </c>
      <c r="D61" s="263">
        <v>7</v>
      </c>
      <c r="E61" s="264">
        <f t="shared" si="9"/>
        <v>4</v>
      </c>
      <c r="F61" s="264">
        <f t="shared" si="8"/>
        <v>4</v>
      </c>
      <c r="G61" s="254">
        <v>0</v>
      </c>
      <c r="H61" s="254">
        <v>4</v>
      </c>
      <c r="I61" s="255" t="s">
        <v>59</v>
      </c>
      <c r="J61" s="263">
        <v>0</v>
      </c>
      <c r="K61" s="265">
        <v>0</v>
      </c>
      <c r="L61" s="254">
        <v>0</v>
      </c>
      <c r="M61" s="255">
        <v>0</v>
      </c>
      <c r="N61" s="263">
        <v>4</v>
      </c>
      <c r="O61" s="265" t="s">
        <v>59</v>
      </c>
      <c r="P61" s="254">
        <v>0</v>
      </c>
      <c r="Q61" s="255">
        <v>0</v>
      </c>
      <c r="R61" s="263">
        <v>0</v>
      </c>
      <c r="S61" s="265">
        <v>0</v>
      </c>
      <c r="T61" s="254">
        <v>0</v>
      </c>
      <c r="U61" s="255">
        <v>0</v>
      </c>
      <c r="V61" s="263">
        <v>0</v>
      </c>
      <c r="W61" s="265">
        <v>0</v>
      </c>
      <c r="X61" s="254">
        <v>0</v>
      </c>
      <c r="Y61" s="255">
        <v>0</v>
      </c>
      <c r="Z61" s="263">
        <v>0</v>
      </c>
      <c r="AA61" s="265">
        <v>0</v>
      </c>
      <c r="AB61" s="254">
        <f t="shared" si="6"/>
        <v>4</v>
      </c>
      <c r="AC61" s="264">
        <f t="shared" si="7"/>
        <v>4</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M_00.0018.000018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46384</v>
      </c>
      <c r="E26" s="173">
        <v>7</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42447.083049920002</v>
      </c>
      <c r="Q26" s="173" t="s">
        <v>424</v>
      </c>
      <c r="R26" s="175">
        <f>SUM(R27:R86)</f>
        <v>42173.975000000006</v>
      </c>
      <c r="S26" s="173" t="s">
        <v>424</v>
      </c>
      <c r="T26" s="173" t="s">
        <v>424</v>
      </c>
      <c r="U26" s="173" t="s">
        <v>424</v>
      </c>
      <c r="V26" s="173" t="s">
        <v>424</v>
      </c>
      <c r="W26" s="173" t="s">
        <v>424</v>
      </c>
      <c r="X26" s="173" t="s">
        <v>424</v>
      </c>
      <c r="Y26" s="173" t="s">
        <v>424</v>
      </c>
      <c r="Z26" s="173" t="s">
        <v>424</v>
      </c>
      <c r="AA26" s="173" t="s">
        <v>424</v>
      </c>
      <c r="AB26" s="175">
        <f>SUM(AB27:AB86)</f>
        <v>36170</v>
      </c>
      <c r="AC26" s="173" t="s">
        <v>424</v>
      </c>
      <c r="AD26" s="175">
        <f>SUM(AD27:AD86)</f>
        <v>43404</v>
      </c>
      <c r="AE26" s="175">
        <f>SUM(AE27:AE86)</f>
        <v>12129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29314.5</v>
      </c>
      <c r="AY26" s="175">
        <f t="shared" si="46"/>
        <v>33173.874470000002</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11354.36</v>
      </c>
      <c r="Q27" s="205" t="s">
        <v>515</v>
      </c>
      <c r="R27" s="206">
        <v>11354.36</v>
      </c>
      <c r="S27" s="205" t="s">
        <v>516</v>
      </c>
      <c r="T27" s="205" t="s">
        <v>516</v>
      </c>
      <c r="U27" s="205">
        <v>4</v>
      </c>
      <c r="V27" s="205">
        <v>6</v>
      </c>
      <c r="W27" s="205" t="s">
        <v>517</v>
      </c>
      <c r="X27" s="205" t="s">
        <v>424</v>
      </c>
      <c r="Y27" s="205" t="s">
        <v>424</v>
      </c>
      <c r="Z27" s="205" t="s">
        <v>424</v>
      </c>
      <c r="AA27" s="205" t="s">
        <v>518</v>
      </c>
      <c r="AB27" s="206">
        <v>6800</v>
      </c>
      <c r="AC27" s="205" t="s">
        <v>519</v>
      </c>
      <c r="AD27" s="206">
        <v>8160</v>
      </c>
      <c r="AE27" s="247">
        <f>IF(IFERROR(AD27-AY27,"нд")&lt;0,0,IFERROR(AD27-AY27,"нд"))</f>
        <v>0</v>
      </c>
      <c r="AF27" s="205">
        <v>32211598445</v>
      </c>
      <c r="AG27" s="205" t="s">
        <v>520</v>
      </c>
      <c r="AH27" s="205" t="s">
        <v>521</v>
      </c>
      <c r="AI27" s="207">
        <v>44804</v>
      </c>
      <c r="AJ27" s="207">
        <v>44777</v>
      </c>
      <c r="AK27" s="207">
        <v>44795</v>
      </c>
      <c r="AL27" s="207">
        <v>44804</v>
      </c>
      <c r="AM27" s="205" t="s">
        <v>424</v>
      </c>
      <c r="AN27" s="205" t="s">
        <v>424</v>
      </c>
      <c r="AO27" s="205" t="s">
        <v>424</v>
      </c>
      <c r="AP27" s="205" t="s">
        <v>424</v>
      </c>
      <c r="AQ27" s="207">
        <v>44824</v>
      </c>
      <c r="AR27" s="207">
        <v>44925</v>
      </c>
      <c r="AS27" s="207">
        <v>44824</v>
      </c>
      <c r="AT27" s="207">
        <v>45026</v>
      </c>
      <c r="AU27" s="207">
        <v>45076</v>
      </c>
      <c r="AV27" s="205" t="s">
        <v>424</v>
      </c>
      <c r="AW27" s="205" t="s">
        <v>424</v>
      </c>
      <c r="AX27" s="208">
        <v>6800</v>
      </c>
      <c r="AY27" s="208">
        <v>8160</v>
      </c>
      <c r="AZ27" s="206" t="s">
        <v>522</v>
      </c>
      <c r="BA27" s="206" t="s">
        <v>512</v>
      </c>
      <c r="BB27" s="206" t="s">
        <v>523</v>
      </c>
      <c r="BC27" s="206" t="s">
        <v>524</v>
      </c>
      <c r="BD27" s="206" t="str">
        <f>CONCATENATE(BB27,", ",BA27,", ",N27,", ","договор № ",BC27)</f>
        <v>ООО "ГК ЛИТИОН", ТМЦ, Поставка батареи аккумуляторной и зарядно-выпрямительного устройства, договор № ПД-22-00247 от 30.12.2022</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512</v>
      </c>
      <c r="N28" s="205" t="s">
        <v>525</v>
      </c>
      <c r="O28" s="205" t="s">
        <v>514</v>
      </c>
      <c r="P28" s="206">
        <v>16467.115000000002</v>
      </c>
      <c r="Q28" s="205" t="s">
        <v>515</v>
      </c>
      <c r="R28" s="206">
        <v>16467.115000000002</v>
      </c>
      <c r="S28" s="205" t="s">
        <v>526</v>
      </c>
      <c r="T28" s="205" t="s">
        <v>526</v>
      </c>
      <c r="U28" s="205">
        <v>3</v>
      </c>
      <c r="V28" s="205">
        <v>1</v>
      </c>
      <c r="W28" s="205" t="s">
        <v>519</v>
      </c>
      <c r="X28" s="205">
        <v>15415</v>
      </c>
      <c r="Y28" s="205" t="s">
        <v>527</v>
      </c>
      <c r="Z28" s="205">
        <v>1</v>
      </c>
      <c r="AA28" s="205">
        <v>15395.5</v>
      </c>
      <c r="AB28" s="206">
        <v>15395.5</v>
      </c>
      <c r="AC28" s="205" t="s">
        <v>519</v>
      </c>
      <c r="AD28" s="206">
        <v>18474.599999999999</v>
      </c>
      <c r="AE28" s="247">
        <f t="shared" ref="AE28:AE86" si="49">IF(IFERROR(AD28-AY28,"нд")&lt;0,0,IFERROR(AD28-AY28,"нд"))</f>
        <v>0</v>
      </c>
      <c r="AF28" s="205" t="s">
        <v>424</v>
      </c>
      <c r="AG28" s="205" t="s">
        <v>424</v>
      </c>
      <c r="AH28" s="205" t="s">
        <v>424</v>
      </c>
      <c r="AI28" s="207">
        <v>45535</v>
      </c>
      <c r="AJ28" s="207">
        <v>45534</v>
      </c>
      <c r="AK28" s="207">
        <v>45552</v>
      </c>
      <c r="AL28" s="207">
        <v>45562</v>
      </c>
      <c r="AM28" s="205" t="s">
        <v>424</v>
      </c>
      <c r="AN28" s="205" t="s">
        <v>424</v>
      </c>
      <c r="AO28" s="205" t="s">
        <v>424</v>
      </c>
      <c r="AP28" s="205" t="s">
        <v>424</v>
      </c>
      <c r="AQ28" s="207">
        <v>45582</v>
      </c>
      <c r="AR28" s="207">
        <v>45582</v>
      </c>
      <c r="AS28" s="207">
        <v>45582</v>
      </c>
      <c r="AT28" s="207">
        <v>45582</v>
      </c>
      <c r="AU28" s="207">
        <v>45657</v>
      </c>
      <c r="AV28" s="205" t="s">
        <v>424</v>
      </c>
      <c r="AW28" s="205" t="s">
        <v>424</v>
      </c>
      <c r="AX28" s="206">
        <v>18647.5</v>
      </c>
      <c r="AY28" s="206">
        <v>20373.474470000001</v>
      </c>
      <c r="AZ28" s="206" t="s">
        <v>522</v>
      </c>
      <c r="BA28" s="206" t="s">
        <v>512</v>
      </c>
      <c r="BB28" s="206" t="s">
        <v>519</v>
      </c>
      <c r="BC28" s="206" t="s">
        <v>528</v>
      </c>
      <c r="BD28" s="206" t="str">
        <f t="shared" ref="BD28:BD86" si="50">CONCATENATE(BB28,", ",BA28,", ",N28,", ","договор № ",BC28)</f>
        <v>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 от 17.10.2024</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512</v>
      </c>
      <c r="N29" s="205" t="s">
        <v>525</v>
      </c>
      <c r="O29" s="205" t="s">
        <v>514</v>
      </c>
      <c r="P29" s="206">
        <v>3357.5</v>
      </c>
      <c r="Q29" s="205" t="s">
        <v>515</v>
      </c>
      <c r="R29" s="206">
        <v>3357.5</v>
      </c>
      <c r="S29" s="205" t="s">
        <v>526</v>
      </c>
      <c r="T29" s="205" t="s">
        <v>526</v>
      </c>
      <c r="U29" s="205">
        <v>1</v>
      </c>
      <c r="V29" s="205" t="s">
        <v>424</v>
      </c>
      <c r="W29" s="205" t="s">
        <v>424</v>
      </c>
      <c r="X29" s="205" t="s">
        <v>424</v>
      </c>
      <c r="Y29" s="205" t="s">
        <v>424</v>
      </c>
      <c r="Z29" s="205" t="s">
        <v>424</v>
      </c>
      <c r="AA29" s="205" t="s">
        <v>424</v>
      </c>
      <c r="AB29" s="206">
        <v>3357.5</v>
      </c>
      <c r="AC29" s="205" t="s">
        <v>519</v>
      </c>
      <c r="AD29" s="206">
        <v>4029</v>
      </c>
      <c r="AE29" s="247">
        <f t="shared" si="49"/>
        <v>4029</v>
      </c>
      <c r="AF29" s="205" t="s">
        <v>527</v>
      </c>
      <c r="AG29" s="205" t="s">
        <v>529</v>
      </c>
      <c r="AH29" s="205" t="s">
        <v>424</v>
      </c>
      <c r="AI29" s="207" t="s">
        <v>424</v>
      </c>
      <c r="AJ29" s="207" t="s">
        <v>424</v>
      </c>
      <c r="AK29" s="207" t="s">
        <v>424</v>
      </c>
      <c r="AL29" s="207" t="s">
        <v>424</v>
      </c>
      <c r="AM29" s="205" t="s">
        <v>530</v>
      </c>
      <c r="AN29" s="205" t="s">
        <v>531</v>
      </c>
      <c r="AO29" s="205">
        <v>45621</v>
      </c>
      <c r="AP29" s="205" t="s">
        <v>532</v>
      </c>
      <c r="AQ29" s="207">
        <v>45649</v>
      </c>
      <c r="AR29" s="207">
        <v>45651</v>
      </c>
      <c r="AS29" s="207">
        <v>45649</v>
      </c>
      <c r="AT29" s="207">
        <v>45651</v>
      </c>
      <c r="AU29" s="207">
        <v>45991</v>
      </c>
      <c r="AV29" s="205" t="s">
        <v>424</v>
      </c>
      <c r="AW29" s="205" t="s">
        <v>424</v>
      </c>
      <c r="AX29" s="206">
        <v>0</v>
      </c>
      <c r="AY29" s="206">
        <v>0</v>
      </c>
      <c r="AZ29" s="206" t="s">
        <v>522</v>
      </c>
      <c r="BA29" s="206" t="s">
        <v>512</v>
      </c>
      <c r="BB29" s="206" t="s">
        <v>519</v>
      </c>
      <c r="BC29" s="206" t="s">
        <v>533</v>
      </c>
      <c r="BD29" s="206" t="str">
        <f t="shared" si="50"/>
        <v>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ПД-24-00237-ДС001 от 25.12.2024</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534</v>
      </c>
      <c r="N30" s="205" t="s">
        <v>535</v>
      </c>
      <c r="O30" s="205" t="s">
        <v>514</v>
      </c>
      <c r="P30" s="206">
        <v>7401.1080499199998</v>
      </c>
      <c r="Q30" s="205" t="s">
        <v>515</v>
      </c>
      <c r="R30" s="206">
        <v>7128</v>
      </c>
      <c r="S30" s="205" t="s">
        <v>536</v>
      </c>
      <c r="T30" s="205" t="s">
        <v>536</v>
      </c>
      <c r="U30" s="205">
        <v>3</v>
      </c>
      <c r="V30" s="205">
        <v>1</v>
      </c>
      <c r="W30" s="205" t="s">
        <v>537</v>
      </c>
      <c r="X30" s="205">
        <v>6750</v>
      </c>
      <c r="Y30" s="205" t="s">
        <v>527</v>
      </c>
      <c r="Z30" s="205">
        <v>1</v>
      </c>
      <c r="AA30" s="205">
        <v>6750</v>
      </c>
      <c r="AB30" s="206">
        <v>6750</v>
      </c>
      <c r="AC30" s="205" t="s">
        <v>537</v>
      </c>
      <c r="AD30" s="206">
        <v>8100</v>
      </c>
      <c r="AE30" s="247">
        <f t="shared" si="49"/>
        <v>8100</v>
      </c>
      <c r="AF30" s="205" t="s">
        <v>538</v>
      </c>
      <c r="AG30" s="205" t="s">
        <v>520</v>
      </c>
      <c r="AH30" s="205" t="s">
        <v>521</v>
      </c>
      <c r="AI30" s="207">
        <v>45716</v>
      </c>
      <c r="AJ30" s="207">
        <v>45716</v>
      </c>
      <c r="AK30" s="207">
        <v>45730</v>
      </c>
      <c r="AL30" s="207">
        <v>45743</v>
      </c>
      <c r="AM30" s="205" t="s">
        <v>424</v>
      </c>
      <c r="AN30" s="205" t="s">
        <v>424</v>
      </c>
      <c r="AO30" s="205" t="s">
        <v>424</v>
      </c>
      <c r="AP30" s="205" t="s">
        <v>424</v>
      </c>
      <c r="AQ30" s="207">
        <v>45763</v>
      </c>
      <c r="AR30" s="207" t="s">
        <v>539</v>
      </c>
      <c r="AS30" s="207">
        <v>45763</v>
      </c>
      <c r="AT30" s="207" t="s">
        <v>424</v>
      </c>
      <c r="AU30" s="207">
        <v>45991</v>
      </c>
      <c r="AV30" s="205" t="s">
        <v>424</v>
      </c>
      <c r="AW30" s="205" t="s">
        <v>424</v>
      </c>
      <c r="AX30" s="206">
        <v>0</v>
      </c>
      <c r="AY30" s="206">
        <v>0</v>
      </c>
      <c r="AZ30" s="206" t="s">
        <v>540</v>
      </c>
      <c r="BA30" s="206" t="s">
        <v>541</v>
      </c>
      <c r="BB30" s="206" t="s">
        <v>537</v>
      </c>
      <c r="BC30" s="206" t="s">
        <v>542</v>
      </c>
      <c r="BD30" s="206" t="str">
        <f t="shared" si="50"/>
        <v>ОБЩЕСТВО С ОГРАНИЧЕННОЙ ОТВЕТСТВЕННОСТЬЮ "СОЮЗ-ЭНЕРГОРЕМОНТ", СМР, Выполнение строительно-монтажных и пуско-наладочных работ по проекту "Реконструкция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 договор № ИП-25-00134 от 17.04.2025</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543</v>
      </c>
      <c r="N31" s="205" t="s">
        <v>544</v>
      </c>
      <c r="O31" s="205" t="s">
        <v>514</v>
      </c>
      <c r="P31" s="206">
        <v>3867</v>
      </c>
      <c r="Q31" s="205" t="s">
        <v>515</v>
      </c>
      <c r="R31" s="206">
        <v>3867</v>
      </c>
      <c r="S31" s="205" t="s">
        <v>545</v>
      </c>
      <c r="T31" s="205" t="s">
        <v>545</v>
      </c>
      <c r="U31" s="205">
        <v>4</v>
      </c>
      <c r="V31" s="205">
        <v>1</v>
      </c>
      <c r="W31" s="205" t="s">
        <v>546</v>
      </c>
      <c r="X31" s="205">
        <v>3867</v>
      </c>
      <c r="Y31" s="205" t="s">
        <v>546</v>
      </c>
      <c r="Z31" s="205" t="s">
        <v>527</v>
      </c>
      <c r="AA31" s="205" t="s">
        <v>527</v>
      </c>
      <c r="AB31" s="206">
        <v>3867</v>
      </c>
      <c r="AC31" s="205" t="s">
        <v>547</v>
      </c>
      <c r="AD31" s="206">
        <v>4640.3999999999996</v>
      </c>
      <c r="AE31" s="247">
        <f t="shared" si="49"/>
        <v>0</v>
      </c>
      <c r="AF31" s="205">
        <v>32111009959</v>
      </c>
      <c r="AG31" s="205" t="s">
        <v>520</v>
      </c>
      <c r="AH31" s="205" t="s">
        <v>521</v>
      </c>
      <c r="AI31" s="207">
        <v>44560</v>
      </c>
      <c r="AJ31" s="207">
        <v>44560</v>
      </c>
      <c r="AK31" s="207">
        <v>44579</v>
      </c>
      <c r="AL31" s="207">
        <v>44589</v>
      </c>
      <c r="AM31" s="205" t="s">
        <v>424</v>
      </c>
      <c r="AN31" s="205" t="s">
        <v>424</v>
      </c>
      <c r="AO31" s="205" t="s">
        <v>424</v>
      </c>
      <c r="AP31" s="205" t="s">
        <v>424</v>
      </c>
      <c r="AQ31" s="207">
        <v>44609</v>
      </c>
      <c r="AR31" s="207">
        <v>44609</v>
      </c>
      <c r="AS31" s="207">
        <v>44609</v>
      </c>
      <c r="AT31" s="207">
        <v>44609</v>
      </c>
      <c r="AU31" s="207">
        <v>45044</v>
      </c>
      <c r="AV31" s="205" t="s">
        <v>424</v>
      </c>
      <c r="AW31" s="205" t="s">
        <v>424</v>
      </c>
      <c r="AX31" s="206">
        <v>3867</v>
      </c>
      <c r="AY31" s="206">
        <v>4640.3999999999996</v>
      </c>
      <c r="AZ31" s="206" t="s">
        <v>540</v>
      </c>
      <c r="BA31" s="206" t="s">
        <v>541</v>
      </c>
      <c r="BB31" s="206" t="s">
        <v>547</v>
      </c>
      <c r="BC31" s="206" t="s">
        <v>548</v>
      </c>
      <c r="BD31" s="206" t="str">
        <f t="shared" si="50"/>
        <v>ООО Производственная компания "Электроконцепт", СМР, 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 договор № ИП-22-00025 от 17.02.2022</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M_00.0018.000018</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563</v>
      </c>
    </row>
    <row r="22" spans="1:2" x14ac:dyDescent="0.25">
      <c r="A22" s="153" t="s">
        <v>305</v>
      </c>
      <c r="B22" s="153" t="s">
        <v>568</v>
      </c>
    </row>
    <row r="23" spans="1:2" x14ac:dyDescent="0.25">
      <c r="A23" s="153" t="s">
        <v>287</v>
      </c>
      <c r="B23" s="153" t="s">
        <v>551</v>
      </c>
    </row>
    <row r="24" spans="1:2" x14ac:dyDescent="0.25">
      <c r="A24" s="153" t="s">
        <v>306</v>
      </c>
      <c r="B24" s="153" t="s">
        <v>424</v>
      </c>
    </row>
    <row r="25" spans="1:2" x14ac:dyDescent="0.25">
      <c r="A25" s="154" t="s">
        <v>307</v>
      </c>
      <c r="B25" s="171">
        <v>46384</v>
      </c>
    </row>
    <row r="26" spans="1:2" x14ac:dyDescent="0.25">
      <c r="A26" s="154" t="s">
        <v>308</v>
      </c>
      <c r="B26" s="156" t="s">
        <v>567</v>
      </c>
    </row>
    <row r="27" spans="1:2" x14ac:dyDescent="0.25">
      <c r="A27" s="156" t="str">
        <f>CONCATENATE("Стоимость проекта в прогнозных ценах, млн. руб. с НДС")</f>
        <v>Стоимость проекта в прогнозных ценах, млн. руб. с НДС</v>
      </c>
      <c r="B27" s="167">
        <v>59.31659090221288</v>
      </c>
    </row>
    <row r="28" spans="1:2" ht="93.75" customHeight="1" x14ac:dyDescent="0.25">
      <c r="A28" s="155" t="s">
        <v>309</v>
      </c>
      <c r="B28" s="158" t="s">
        <v>552</v>
      </c>
    </row>
    <row r="29" spans="1:2" ht="28.5" x14ac:dyDescent="0.25">
      <c r="A29" s="156" t="s">
        <v>310</v>
      </c>
      <c r="B29" s="167">
        <f>'7. Паспорт отчет о закупке'!$AB$26*1.2/1000</f>
        <v>43.404000000000003</v>
      </c>
    </row>
    <row r="30" spans="1:2" ht="28.5" x14ac:dyDescent="0.25">
      <c r="A30" s="156" t="s">
        <v>311</v>
      </c>
      <c r="B30" s="167">
        <f>'7. Паспорт отчет о закупке'!$AD$26/1000</f>
        <v>43.404000000000003</v>
      </c>
    </row>
    <row r="31" spans="1:2" x14ac:dyDescent="0.25">
      <c r="A31" s="155" t="s">
        <v>312</v>
      </c>
      <c r="B31" s="157"/>
    </row>
    <row r="32" spans="1:2" ht="28.5" x14ac:dyDescent="0.25">
      <c r="A32" s="156" t="s">
        <v>313</v>
      </c>
      <c r="B32" s="167">
        <f>SUM(SUMIF(B33,"&gt;0",B33),SUMIF(B37,"&gt;0",B37),SUMIF(B41,"&gt;0",B41),SUMIF(B45,"&gt;0",B45),SUMIF(B49,"&gt;0",B49),SUMIF(B53,"&gt;0",B53))</f>
        <v>12.740399999999999</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f>IF(VLOOKUP(4,'7. Паспорт отчет о закупке'!$A$27:$CD$86,52,0)="ИП",VLOOKUP(4,'7. Паспорт отчет о закупке'!$A$27:$CD$86,30,0)/1000,"нд")</f>
        <v>8.1</v>
      </c>
    </row>
    <row r="46" spans="1:2" x14ac:dyDescent="0.25">
      <c r="A46" s="164" t="s">
        <v>314</v>
      </c>
      <c r="B46" s="157">
        <f>IF(B45="нд","нд",$B45/$B$27*100)</f>
        <v>13.655538655876832</v>
      </c>
    </row>
    <row r="47" spans="1:2" x14ac:dyDescent="0.25">
      <c r="A47" s="164" t="s">
        <v>315</v>
      </c>
      <c r="B47" s="157">
        <f>IF(VLOOKUP(4,'7. Паспорт отчет о закупке'!$A$27:$CD$86,52,0)="ИП",VLOOKUP(4,'7. Паспорт отчет о закупке'!$A$27:$CD$86,51,0)/1000,"нд")</f>
        <v>0</v>
      </c>
    </row>
    <row r="48" spans="1:2" x14ac:dyDescent="0.25">
      <c r="A48" s="164" t="s">
        <v>436</v>
      </c>
      <c r="B48" s="157">
        <f>IF(VLOOKUP(4,'7. Паспорт отчет о закупке'!$A$27:$CD$86,52,0)="ИП",VLOOKUP(4,'7. Паспорт отчет о закупке'!$A$27:$CD$86,50,0)/1000,"нд")</f>
        <v>0</v>
      </c>
    </row>
    <row r="49" spans="1:2" ht="30" x14ac:dyDescent="0.25">
      <c r="A49" s="164" t="s">
        <v>432</v>
      </c>
      <c r="B49" s="157">
        <f>IF(VLOOKUP(5,'7. Паспорт отчет о закупке'!$A$27:$CD$86,52,0)="ИП",VLOOKUP(5,'7. Паспорт отчет о закупке'!$A$27:$CD$86,30,0)/1000,"нд")</f>
        <v>4.6403999999999996</v>
      </c>
    </row>
    <row r="50" spans="1:2" x14ac:dyDescent="0.25">
      <c r="A50" s="164" t="s">
        <v>314</v>
      </c>
      <c r="B50" s="157">
        <f>IF(B49="нд","нд",$B49/$B$27*100)</f>
        <v>7.8231063677445496</v>
      </c>
    </row>
    <row r="51" spans="1:2" x14ac:dyDescent="0.25">
      <c r="A51" s="164" t="s">
        <v>315</v>
      </c>
      <c r="B51" s="157">
        <f>IF(VLOOKUP(5,'7. Паспорт отчет о закупке'!$A$27:$CD$86,52,0)="ИП",VLOOKUP(5,'7. Паспорт отчет о закупке'!$A$27:$CD$86,51,0)/1000,"нд")</f>
        <v>4.6403999999999996</v>
      </c>
    </row>
    <row r="52" spans="1:2" x14ac:dyDescent="0.25">
      <c r="A52" s="164" t="s">
        <v>436</v>
      </c>
      <c r="B52" s="157">
        <f>IF(VLOOKUP(5,'7. Паспорт отчет о закупке'!$A$27:$CD$86,52,0)="ИП",VLOOKUP(5,'7. Паспорт отчет о закупке'!$A$27:$CD$86,50,0)/1000,"нд")</f>
        <v>3.867</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30.663599999999999</v>
      </c>
    </row>
    <row r="58" spans="1:2" ht="30" x14ac:dyDescent="0.25">
      <c r="A58" s="164" t="s">
        <v>432</v>
      </c>
      <c r="B58" s="157">
        <f>IF(VLOOKUP(1,'7. Паспорт отчет о закупке'!$A$27:$CD$86,52,0)="ПД",VLOOKUP(1,'7. Паспорт отчет о закупке'!$A$27:$CD$86,30,0)/1000,"нд")</f>
        <v>8.16</v>
      </c>
    </row>
    <row r="59" spans="1:2" x14ac:dyDescent="0.25">
      <c r="A59" s="164" t="s">
        <v>314</v>
      </c>
      <c r="B59" s="157">
        <f>IF(B58="нд","нд",$B58/$B$27*100)</f>
        <v>13.756690794068513</v>
      </c>
    </row>
    <row r="60" spans="1:2" x14ac:dyDescent="0.25">
      <c r="A60" s="164" t="s">
        <v>315</v>
      </c>
      <c r="B60" s="157">
        <f>IF(VLOOKUP(1,'7. Паспорт отчет о закупке'!$A$27:$CD$86,52,0)="ПД",VLOOKUP(1,'7. Паспорт отчет о закупке'!$A$27:$CD$86,51,0)/1000,"нд")</f>
        <v>8.16</v>
      </c>
    </row>
    <row r="61" spans="1:2" x14ac:dyDescent="0.25">
      <c r="A61" s="164" t="s">
        <v>436</v>
      </c>
      <c r="B61" s="157">
        <f>IF(VLOOKUP(1,'7. Паспорт отчет о закупке'!$A$27:$CD$86,52,0)="ПД",VLOOKUP(1,'7. Паспорт отчет о закупке'!$A$27:$CD$86,50,0)/1000,"нд")</f>
        <v>6.8</v>
      </c>
    </row>
    <row r="62" spans="1:2" ht="30" x14ac:dyDescent="0.25">
      <c r="A62" s="164" t="s">
        <v>432</v>
      </c>
      <c r="B62" s="157">
        <f>IF(VLOOKUP(2,'7. Паспорт отчет о закупке'!$A$27:$CD$86,52,0)="ПД",VLOOKUP(2,'7. Паспорт отчет о закупке'!$A$27:$CD$86,30,0)/1000,"нд")</f>
        <v>18.474599999999999</v>
      </c>
    </row>
    <row r="63" spans="1:2" x14ac:dyDescent="0.25">
      <c r="A63" s="164" t="s">
        <v>314</v>
      </c>
      <c r="B63" s="157">
        <f>IF(B62="нд","нд",$B62/$B$27*100)</f>
        <v>31.14575487060026</v>
      </c>
    </row>
    <row r="64" spans="1:2" x14ac:dyDescent="0.25">
      <c r="A64" s="164" t="s">
        <v>315</v>
      </c>
      <c r="B64" s="157">
        <f>IF(VLOOKUP(2,'7. Паспорт отчет о закупке'!$A$27:$CD$86,52,0)="ПД",VLOOKUP(2,'7. Паспорт отчет о закупке'!$A$27:$CD$86,51,0)/1000,"нд")</f>
        <v>20.373474470000001</v>
      </c>
    </row>
    <row r="65" spans="1:2" x14ac:dyDescent="0.25">
      <c r="A65" s="164" t="s">
        <v>436</v>
      </c>
      <c r="B65" s="157">
        <f>IF(VLOOKUP(2,'7. Паспорт отчет о закупке'!$A$27:$CD$86,52,0)="ПД",VLOOKUP(2,'7. Паспорт отчет о закупке'!$A$27:$CD$86,50,0)/1000,"нд")</f>
        <v>18.647500000000001</v>
      </c>
    </row>
    <row r="66" spans="1:2" ht="30" x14ac:dyDescent="0.25">
      <c r="A66" s="164" t="s">
        <v>432</v>
      </c>
      <c r="B66" s="157">
        <f>IF(VLOOKUP(3,'7. Паспорт отчет о закупке'!$A$27:$CD$86,52,0)="ПД",VLOOKUP(3,'7. Паспорт отчет о закупке'!$A$27:$CD$86,30,0)/1000,"нд")</f>
        <v>4.0289999999999999</v>
      </c>
    </row>
    <row r="67" spans="1:2" x14ac:dyDescent="0.25">
      <c r="A67" s="164" t="s">
        <v>314</v>
      </c>
      <c r="B67" s="157">
        <f>IF(B66="нд","нд",$B66/$B$27*100)</f>
        <v>6.7923660795713285</v>
      </c>
    </row>
    <row r="68" spans="1:2" x14ac:dyDescent="0.25">
      <c r="A68" s="164" t="s">
        <v>315</v>
      </c>
      <c r="B68" s="157">
        <f>IF(VLOOKUP(3,'7. Паспорт отчет о закупке'!$A$27:$CD$86,52,0)="ПД",VLOOKUP(3,'7. Паспорт отчет о закупке'!$A$27:$CD$86,51,0)/1000,"нд")</f>
        <v>0</v>
      </c>
    </row>
    <row r="69" spans="1:2" x14ac:dyDescent="0.25">
      <c r="A69" s="164" t="s">
        <v>436</v>
      </c>
      <c r="B69" s="157">
        <f>IF(VLOOKUP(3,'7. Паспорт отчет о закупке'!$A$27:$CD$86,52,0)="ПД",VLOOKUP(3,'7. Паспорт отчет о закупке'!$A$27:$CD$86,50,0)/1000,"нд")</f>
        <v>0</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21.478645023621382</v>
      </c>
      <c r="C85" s="188"/>
      <c r="D85" s="189"/>
      <c r="E85" s="188"/>
      <c r="F85" s="188"/>
      <c r="G85" s="188"/>
    </row>
    <row r="86" spans="1:7" x14ac:dyDescent="0.25">
      <c r="A86" s="159" t="s">
        <v>320</v>
      </c>
      <c r="B86" s="162">
        <f>SUMIF('7. Паспорт отчет о закупке'!$BA$27:$BA$86,"ТМЦ",'7. Паспорт отчет о закупке'!$AD$27:$AD$86)/1000/$B$27*100</f>
        <v>51.694811744240099</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34.546251022907889</v>
      </c>
    </row>
    <row r="90" spans="1:7" x14ac:dyDescent="0.25">
      <c r="A90" s="154" t="s">
        <v>435</v>
      </c>
      <c r="B90" s="167">
        <f>IFERROR(SUM(B91*1.2/$B$27*100),0)</f>
        <v>44.668607755425697</v>
      </c>
    </row>
    <row r="91" spans="1:7" x14ac:dyDescent="0.25">
      <c r="A91" s="154" t="s">
        <v>440</v>
      </c>
      <c r="B91" s="167">
        <f>'6.2. Паспорт фин осв ввод'!D34-'6.2. Паспорт фин осв ввод'!E34</f>
        <v>22.079912769999993</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"ГК ЛИТИОН", ТМЦ, Поставка батареи аккумуляторной и зарядно-выпрямительного устройства, договор № ПД-22-00247 от 30.12.2022
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 от 17.10.2024
ОБЩЕСТВО С ОГРАНИЧЕННОЙ ОТВЕТСТВЕННОСТЬЮ "ГК ЛИТИОН", ТМЦ, Поставка аккумуляторной батареи и зарядно-выпрямительного устройства на ПС 220 кВ Тулинская, договор № ПД-24-00237-ДС001 от 25.12.2024
ОБЩЕСТВО С ОГРАНИЧЕННОЙ ОТВЕТСТВЕННОСТЬЮ "СОЮЗ-ЭНЕРГОРЕМОНТ", СМР, Выполнение строительно-монтажных и пуско-наладочных работ по проекту "Реконструкция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 договор № ИП-25-00134 от 17.04.2025
ООО Производственная компания "Электроконцепт", СМР, 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 договор № ИП-22-00025 от 17.02.2022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батареи аккумуляторной и зарядно-выпрямительного устройства</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30.05.2023
31.12.2024
30.11.2025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M_00.0018.000018</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M_00.0018.000018</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M_00.0018.000018</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M_00.0018.000018</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561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563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564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565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566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44578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M_00.0018.000018</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M_00.0018.000018</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M_00.0018.000018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M_00.0018.000018</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44578</v>
      </c>
      <c r="D25" s="285">
        <v>45656</v>
      </c>
      <c r="E25" s="285">
        <v>44578</v>
      </c>
      <c r="F25" s="285">
        <v>45654</v>
      </c>
      <c r="G25" s="286">
        <v>1</v>
      </c>
      <c r="H25" s="286">
        <v>0.25</v>
      </c>
      <c r="I25" s="280" t="s">
        <v>553</v>
      </c>
      <c r="J25" s="280" t="s">
        <v>424</v>
      </c>
      <c r="L25" s="246"/>
      <c r="N25" s="238" t="str">
        <f>CONCATENATE($A$12,A25)</f>
        <v>M_00.0018.0000181</v>
      </c>
    </row>
    <row r="26" spans="1:14" x14ac:dyDescent="0.25">
      <c r="A26" s="281" t="s">
        <v>451</v>
      </c>
      <c r="B26" s="281" t="s">
        <v>452</v>
      </c>
      <c r="C26" s="285" t="s">
        <v>424</v>
      </c>
      <c r="D26" s="285" t="s">
        <v>424</v>
      </c>
      <c r="E26" s="285" t="s">
        <v>424</v>
      </c>
      <c r="F26" s="285" t="s">
        <v>424</v>
      </c>
      <c r="G26" s="286" t="s">
        <v>424</v>
      </c>
      <c r="H26" s="286" t="s">
        <v>424</v>
      </c>
      <c r="I26" s="280" t="s">
        <v>527</v>
      </c>
      <c r="J26" s="281" t="s">
        <v>424</v>
      </c>
      <c r="N26" s="238" t="str">
        <f t="shared" ref="N26:N54" si="0">CONCATENATE($A$12,A26)</f>
        <v>M_00.0018.0000181.1.</v>
      </c>
    </row>
    <row r="27" spans="1:14" x14ac:dyDescent="0.25">
      <c r="A27" s="281" t="s">
        <v>453</v>
      </c>
      <c r="B27" s="281" t="s">
        <v>454</v>
      </c>
      <c r="C27" s="285" t="s">
        <v>424</v>
      </c>
      <c r="D27" s="285" t="s">
        <v>424</v>
      </c>
      <c r="E27" s="285" t="s">
        <v>424</v>
      </c>
      <c r="F27" s="285" t="s">
        <v>424</v>
      </c>
      <c r="G27" s="286" t="s">
        <v>424</v>
      </c>
      <c r="H27" s="286" t="s">
        <v>424</v>
      </c>
      <c r="I27" s="280" t="s">
        <v>527</v>
      </c>
      <c r="J27" s="281" t="s">
        <v>424</v>
      </c>
      <c r="N27" s="238" t="str">
        <f t="shared" si="0"/>
        <v>M_00.0018.0000181.2.</v>
      </c>
    </row>
    <row r="28" spans="1:14" ht="31.5" x14ac:dyDescent="0.25">
      <c r="A28" s="281" t="s">
        <v>455</v>
      </c>
      <c r="B28" s="281" t="s">
        <v>456</v>
      </c>
      <c r="C28" s="285" t="s">
        <v>424</v>
      </c>
      <c r="D28" s="285" t="s">
        <v>424</v>
      </c>
      <c r="E28" s="285" t="s">
        <v>424</v>
      </c>
      <c r="F28" s="285" t="s">
        <v>424</v>
      </c>
      <c r="G28" s="286" t="s">
        <v>424</v>
      </c>
      <c r="H28" s="286" t="s">
        <v>424</v>
      </c>
      <c r="I28" s="280" t="s">
        <v>527</v>
      </c>
      <c r="J28" s="281" t="s">
        <v>424</v>
      </c>
      <c r="N28" s="238" t="str">
        <f t="shared" si="0"/>
        <v>M_00.0018.0000181.2.1.</v>
      </c>
    </row>
    <row r="29" spans="1:14" x14ac:dyDescent="0.25">
      <c r="A29" s="281" t="s">
        <v>457</v>
      </c>
      <c r="B29" s="281" t="s">
        <v>458</v>
      </c>
      <c r="C29" s="285" t="s">
        <v>424</v>
      </c>
      <c r="D29" s="285" t="s">
        <v>424</v>
      </c>
      <c r="E29" s="285" t="s">
        <v>424</v>
      </c>
      <c r="F29" s="285" t="s">
        <v>424</v>
      </c>
      <c r="G29" s="286" t="s">
        <v>424</v>
      </c>
      <c r="H29" s="286" t="s">
        <v>424</v>
      </c>
      <c r="I29" s="280" t="s">
        <v>527</v>
      </c>
      <c r="J29" s="281" t="s">
        <v>424</v>
      </c>
      <c r="N29" s="238" t="str">
        <f t="shared" si="0"/>
        <v>M_00.0018.0000181.3.</v>
      </c>
    </row>
    <row r="30" spans="1:14" x14ac:dyDescent="0.25">
      <c r="A30" s="281" t="s">
        <v>459</v>
      </c>
      <c r="B30" s="281" t="s">
        <v>460</v>
      </c>
      <c r="C30" s="285" t="s">
        <v>424</v>
      </c>
      <c r="D30" s="285" t="s">
        <v>424</v>
      </c>
      <c r="E30" s="285" t="s">
        <v>424</v>
      </c>
      <c r="F30" s="285" t="s">
        <v>424</v>
      </c>
      <c r="G30" s="286" t="s">
        <v>424</v>
      </c>
      <c r="H30" s="286" t="s">
        <v>424</v>
      </c>
      <c r="I30" s="280" t="s">
        <v>527</v>
      </c>
      <c r="J30" s="281" t="s">
        <v>424</v>
      </c>
      <c r="N30" s="238" t="str">
        <f t="shared" si="0"/>
        <v>M_00.0018.0000181.4.</v>
      </c>
    </row>
    <row r="31" spans="1:14" x14ac:dyDescent="0.25">
      <c r="A31" s="281" t="s">
        <v>461</v>
      </c>
      <c r="B31" s="281" t="s">
        <v>462</v>
      </c>
      <c r="C31" s="285">
        <v>44578</v>
      </c>
      <c r="D31" s="285">
        <v>45653</v>
      </c>
      <c r="E31" s="285">
        <v>44578</v>
      </c>
      <c r="F31" s="285">
        <v>45287</v>
      </c>
      <c r="G31" s="286">
        <v>1</v>
      </c>
      <c r="H31" s="286" t="s">
        <v>424</v>
      </c>
      <c r="I31" s="280" t="s">
        <v>527</v>
      </c>
      <c r="J31" s="281" t="s">
        <v>424</v>
      </c>
      <c r="N31" s="238" t="str">
        <f t="shared" si="0"/>
        <v>M_00.0018.0000181.5.</v>
      </c>
    </row>
    <row r="32" spans="1:14" x14ac:dyDescent="0.25">
      <c r="A32" s="281" t="s">
        <v>463</v>
      </c>
      <c r="B32" s="281" t="s">
        <v>464</v>
      </c>
      <c r="C32" s="285">
        <v>45004</v>
      </c>
      <c r="D32" s="285">
        <v>45656</v>
      </c>
      <c r="E32" s="285">
        <v>45004</v>
      </c>
      <c r="F32" s="285">
        <v>45645</v>
      </c>
      <c r="G32" s="286">
        <v>1</v>
      </c>
      <c r="H32" s="286" t="s">
        <v>424</v>
      </c>
      <c r="I32" s="280" t="s">
        <v>527</v>
      </c>
      <c r="J32" s="281" t="s">
        <v>424</v>
      </c>
      <c r="N32" s="238" t="str">
        <f t="shared" si="0"/>
        <v>M_00.0018.0000181.6.</v>
      </c>
    </row>
    <row r="33" spans="1:14" ht="31.5" x14ac:dyDescent="0.25">
      <c r="A33" s="281" t="s">
        <v>465</v>
      </c>
      <c r="B33" s="281" t="s">
        <v>466</v>
      </c>
      <c r="C33" s="285" t="s">
        <v>424</v>
      </c>
      <c r="D33" s="285" t="s">
        <v>424</v>
      </c>
      <c r="E33" s="285" t="s">
        <v>424</v>
      </c>
      <c r="F33" s="285" t="s">
        <v>424</v>
      </c>
      <c r="G33" s="286" t="s">
        <v>424</v>
      </c>
      <c r="H33" s="286" t="s">
        <v>424</v>
      </c>
      <c r="I33" s="280" t="s">
        <v>527</v>
      </c>
      <c r="J33" s="281" t="s">
        <v>424</v>
      </c>
      <c r="N33" s="238" t="str">
        <f t="shared" si="0"/>
        <v>M_00.0018.0000181.7.</v>
      </c>
    </row>
    <row r="34" spans="1:14" ht="31.5" x14ac:dyDescent="0.25">
      <c r="A34" s="281" t="s">
        <v>467</v>
      </c>
      <c r="B34" s="281" t="s">
        <v>468</v>
      </c>
      <c r="C34" s="285" t="s">
        <v>424</v>
      </c>
      <c r="D34" s="285" t="s">
        <v>424</v>
      </c>
      <c r="E34" s="285" t="s">
        <v>424</v>
      </c>
      <c r="F34" s="285" t="s">
        <v>424</v>
      </c>
      <c r="G34" s="286" t="s">
        <v>424</v>
      </c>
      <c r="H34" s="286" t="s">
        <v>424</v>
      </c>
      <c r="I34" s="280" t="s">
        <v>527</v>
      </c>
      <c r="J34" s="281" t="s">
        <v>424</v>
      </c>
      <c r="N34" s="238" t="str">
        <f t="shared" si="0"/>
        <v>M_00.0018.0000181.8.</v>
      </c>
    </row>
    <row r="35" spans="1:14" x14ac:dyDescent="0.25">
      <c r="A35" s="281" t="s">
        <v>469</v>
      </c>
      <c r="B35" s="281" t="s">
        <v>470</v>
      </c>
      <c r="C35" s="285" t="s">
        <v>424</v>
      </c>
      <c r="D35" s="285" t="s">
        <v>424</v>
      </c>
      <c r="E35" s="285">
        <v>45626</v>
      </c>
      <c r="F35" s="285">
        <v>45654</v>
      </c>
      <c r="G35" s="286">
        <v>1</v>
      </c>
      <c r="H35" s="286">
        <v>1</v>
      </c>
      <c r="I35" s="280" t="s">
        <v>527</v>
      </c>
      <c r="J35" s="281" t="s">
        <v>424</v>
      </c>
      <c r="N35" s="238" t="str">
        <f t="shared" si="0"/>
        <v>M_00.0018.0000181.9.</v>
      </c>
    </row>
    <row r="36" spans="1:14" x14ac:dyDescent="0.25">
      <c r="A36" s="281" t="s">
        <v>471</v>
      </c>
      <c r="B36" s="281" t="s">
        <v>472</v>
      </c>
      <c r="C36" s="285" t="s">
        <v>424</v>
      </c>
      <c r="D36" s="285" t="s">
        <v>424</v>
      </c>
      <c r="E36" s="285" t="s">
        <v>424</v>
      </c>
      <c r="F36" s="285" t="s">
        <v>424</v>
      </c>
      <c r="G36" s="286" t="s">
        <v>424</v>
      </c>
      <c r="H36" s="286" t="s">
        <v>424</v>
      </c>
      <c r="I36" s="280" t="s">
        <v>527</v>
      </c>
      <c r="J36" s="281" t="s">
        <v>424</v>
      </c>
      <c r="N36" s="238" t="str">
        <f t="shared" si="0"/>
        <v>M_00.0018.0000181.10.</v>
      </c>
    </row>
    <row r="37" spans="1:14" x14ac:dyDescent="0.25">
      <c r="A37" s="281" t="s">
        <v>473</v>
      </c>
      <c r="B37" s="281" t="s">
        <v>474</v>
      </c>
      <c r="C37" s="285">
        <v>45004</v>
      </c>
      <c r="D37" s="285">
        <v>45656</v>
      </c>
      <c r="E37" s="285">
        <v>45004</v>
      </c>
      <c r="F37" s="285">
        <v>45645</v>
      </c>
      <c r="G37" s="286">
        <v>1</v>
      </c>
      <c r="H37" s="286" t="s">
        <v>424</v>
      </c>
      <c r="I37" s="280" t="s">
        <v>527</v>
      </c>
      <c r="J37" s="281" t="s">
        <v>424</v>
      </c>
      <c r="N37" s="238" t="str">
        <f t="shared" si="0"/>
        <v>M_00.0018.0000181.11.</v>
      </c>
    </row>
    <row r="38" spans="1:14" x14ac:dyDescent="0.25">
      <c r="A38" s="280">
        <v>2</v>
      </c>
      <c r="B38" s="280" t="s">
        <v>510</v>
      </c>
      <c r="C38" s="285">
        <v>44562</v>
      </c>
      <c r="D38" s="285">
        <v>45868</v>
      </c>
      <c r="E38" s="285">
        <v>44562</v>
      </c>
      <c r="F38" s="285">
        <v>46142</v>
      </c>
      <c r="G38" s="286">
        <v>0.75</v>
      </c>
      <c r="H38" s="286" t="s">
        <v>424</v>
      </c>
      <c r="I38" s="280" t="s">
        <v>553</v>
      </c>
      <c r="J38" s="280" t="s">
        <v>424</v>
      </c>
      <c r="N38" s="238" t="str">
        <f t="shared" si="0"/>
        <v>M_00.0018.0000182</v>
      </c>
    </row>
    <row r="39" spans="1:14" ht="173.25" customHeight="1" x14ac:dyDescent="0.25">
      <c r="A39" s="282" t="s">
        <v>475</v>
      </c>
      <c r="B39" s="281" t="s">
        <v>476</v>
      </c>
      <c r="C39" s="285">
        <v>44562</v>
      </c>
      <c r="D39" s="285">
        <v>45714</v>
      </c>
      <c r="E39" s="285">
        <v>44562</v>
      </c>
      <c r="F39" s="285">
        <v>46142</v>
      </c>
      <c r="G39" s="286" t="s">
        <v>424</v>
      </c>
      <c r="H39" s="286" t="s">
        <v>424</v>
      </c>
      <c r="I39" s="280" t="s">
        <v>554</v>
      </c>
      <c r="J39" s="281" t="s">
        <v>424</v>
      </c>
      <c r="N39" s="238" t="str">
        <f t="shared" si="0"/>
        <v>M_00.0018.0000182.1.</v>
      </c>
    </row>
    <row r="40" spans="1:14" ht="63" x14ac:dyDescent="0.25">
      <c r="A40" s="282" t="s">
        <v>477</v>
      </c>
      <c r="B40" s="281" t="s">
        <v>478</v>
      </c>
      <c r="C40" s="285">
        <v>45169</v>
      </c>
      <c r="D40" s="285">
        <v>45868</v>
      </c>
      <c r="E40" s="285">
        <v>45169</v>
      </c>
      <c r="F40" s="285">
        <v>45582</v>
      </c>
      <c r="G40" s="286">
        <v>1</v>
      </c>
      <c r="H40" s="286" t="s">
        <v>424</v>
      </c>
      <c r="I40" s="280" t="s">
        <v>527</v>
      </c>
      <c r="J40" s="281" t="s">
        <v>424</v>
      </c>
      <c r="N40" s="238" t="str">
        <f t="shared" si="0"/>
        <v>M_00.0018.0000182.2.</v>
      </c>
    </row>
    <row r="41" spans="1:14" x14ac:dyDescent="0.25">
      <c r="A41" s="280">
        <v>3</v>
      </c>
      <c r="B41" s="280" t="s">
        <v>479</v>
      </c>
      <c r="C41" s="285">
        <v>45046</v>
      </c>
      <c r="D41" s="285">
        <v>46017</v>
      </c>
      <c r="E41" s="285">
        <v>45046</v>
      </c>
      <c r="F41" s="285">
        <v>46355</v>
      </c>
      <c r="G41" s="286">
        <v>0.625</v>
      </c>
      <c r="H41" s="286" t="s">
        <v>424</v>
      </c>
      <c r="I41" s="280" t="s">
        <v>553</v>
      </c>
      <c r="J41" s="280" t="s">
        <v>424</v>
      </c>
      <c r="N41" s="238" t="str">
        <f t="shared" si="0"/>
        <v>M_00.0018.0000183</v>
      </c>
    </row>
    <row r="42" spans="1:14" x14ac:dyDescent="0.25">
      <c r="A42" s="281" t="s">
        <v>480</v>
      </c>
      <c r="B42" s="281" t="s">
        <v>481</v>
      </c>
      <c r="C42" s="285">
        <v>45094</v>
      </c>
      <c r="D42" s="285">
        <v>45975</v>
      </c>
      <c r="E42" s="285">
        <v>45094</v>
      </c>
      <c r="F42" s="285">
        <v>46203</v>
      </c>
      <c r="G42" s="286" t="s">
        <v>424</v>
      </c>
      <c r="H42" s="286" t="s">
        <v>424</v>
      </c>
      <c r="I42" s="280" t="s">
        <v>527</v>
      </c>
      <c r="J42" s="281" t="s">
        <v>424</v>
      </c>
      <c r="N42" s="238" t="str">
        <f t="shared" si="0"/>
        <v>M_00.0018.0000183.1.</v>
      </c>
    </row>
    <row r="43" spans="1:14" ht="63" x14ac:dyDescent="0.25">
      <c r="A43" s="281" t="s">
        <v>482</v>
      </c>
      <c r="B43" s="281" t="s">
        <v>483</v>
      </c>
      <c r="C43" s="285">
        <v>45046</v>
      </c>
      <c r="D43" s="285">
        <v>45928</v>
      </c>
      <c r="E43" s="285">
        <v>45046</v>
      </c>
      <c r="F43" s="285">
        <v>46295</v>
      </c>
      <c r="G43" s="286" t="s">
        <v>424</v>
      </c>
      <c r="H43" s="286" t="s">
        <v>424</v>
      </c>
      <c r="I43" s="280" t="s">
        <v>555</v>
      </c>
      <c r="J43" s="281" t="s">
        <v>424</v>
      </c>
      <c r="N43" s="238" t="str">
        <f t="shared" si="0"/>
        <v>M_00.0018.0000183.2.</v>
      </c>
    </row>
    <row r="44" spans="1:14" x14ac:dyDescent="0.25">
      <c r="A44" s="281" t="s">
        <v>484</v>
      </c>
      <c r="B44" s="281" t="s">
        <v>485</v>
      </c>
      <c r="C44" s="285">
        <v>45139</v>
      </c>
      <c r="D44" s="285">
        <v>46002</v>
      </c>
      <c r="E44" s="285">
        <v>45139</v>
      </c>
      <c r="F44" s="285">
        <v>46325</v>
      </c>
      <c r="G44" s="286" t="s">
        <v>424</v>
      </c>
      <c r="H44" s="286" t="s">
        <v>424</v>
      </c>
      <c r="I44" s="280" t="s">
        <v>527</v>
      </c>
      <c r="J44" s="281" t="s">
        <v>424</v>
      </c>
      <c r="N44" s="238" t="str">
        <f t="shared" si="0"/>
        <v>M_00.0018.0000183.3.</v>
      </c>
    </row>
    <row r="45" spans="1:14" ht="31.5" x14ac:dyDescent="0.25">
      <c r="A45" s="281" t="s">
        <v>486</v>
      </c>
      <c r="B45" s="281" t="s">
        <v>487</v>
      </c>
      <c r="C45" s="285" t="s">
        <v>424</v>
      </c>
      <c r="D45" s="285" t="s">
        <v>424</v>
      </c>
      <c r="E45" s="285" t="s">
        <v>424</v>
      </c>
      <c r="F45" s="285" t="s">
        <v>424</v>
      </c>
      <c r="G45" s="286" t="s">
        <v>424</v>
      </c>
      <c r="H45" s="286" t="s">
        <v>424</v>
      </c>
      <c r="I45" s="280" t="s">
        <v>527</v>
      </c>
      <c r="J45" s="281" t="s">
        <v>424</v>
      </c>
      <c r="N45" s="238" t="str">
        <f t="shared" si="0"/>
        <v>M_00.0018.0000183.4.</v>
      </c>
    </row>
    <row r="46" spans="1:14" ht="63" x14ac:dyDescent="0.25">
      <c r="A46" s="281" t="s">
        <v>488</v>
      </c>
      <c r="B46" s="281" t="s">
        <v>489</v>
      </c>
      <c r="C46" s="285" t="s">
        <v>424</v>
      </c>
      <c r="D46" s="285" t="s">
        <v>424</v>
      </c>
      <c r="E46" s="285" t="s">
        <v>424</v>
      </c>
      <c r="F46" s="285" t="s">
        <v>424</v>
      </c>
      <c r="G46" s="286" t="s">
        <v>424</v>
      </c>
      <c r="H46" s="286" t="s">
        <v>424</v>
      </c>
      <c r="I46" s="280" t="s">
        <v>527</v>
      </c>
      <c r="J46" s="281" t="s">
        <v>424</v>
      </c>
      <c r="N46" s="238" t="str">
        <f t="shared" si="0"/>
        <v>M_00.0018.0000183.5.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M_00.0018.0000183.6.</v>
      </c>
    </row>
    <row r="48" spans="1:14" x14ac:dyDescent="0.25">
      <c r="A48" s="280">
        <v>4</v>
      </c>
      <c r="B48" s="280" t="s">
        <v>492</v>
      </c>
      <c r="C48" s="285">
        <v>45283</v>
      </c>
      <c r="D48" s="285">
        <v>46021</v>
      </c>
      <c r="E48" s="285">
        <v>45283</v>
      </c>
      <c r="F48" s="285">
        <v>46384</v>
      </c>
      <c r="G48" s="286">
        <v>0.5</v>
      </c>
      <c r="H48" s="286" t="s">
        <v>424</v>
      </c>
      <c r="I48" s="280" t="s">
        <v>553</v>
      </c>
      <c r="J48" s="280" t="s">
        <v>424</v>
      </c>
      <c r="N48" s="238" t="str">
        <f t="shared" si="0"/>
        <v>M_00.0018.0000184</v>
      </c>
    </row>
    <row r="49" spans="1:14" x14ac:dyDescent="0.25">
      <c r="A49" s="281" t="s">
        <v>493</v>
      </c>
      <c r="B49" s="281" t="s">
        <v>494</v>
      </c>
      <c r="C49" s="285">
        <v>45283</v>
      </c>
      <c r="D49" s="285">
        <v>46021</v>
      </c>
      <c r="E49" s="285">
        <v>45283</v>
      </c>
      <c r="F49" s="285">
        <v>46380</v>
      </c>
      <c r="G49" s="286" t="s">
        <v>424</v>
      </c>
      <c r="H49" s="286" t="s">
        <v>424</v>
      </c>
      <c r="I49" s="280" t="s">
        <v>527</v>
      </c>
      <c r="J49" s="281" t="s">
        <v>424</v>
      </c>
      <c r="N49" s="238" t="str">
        <f t="shared" si="0"/>
        <v>M_00.0018.0000184.1.</v>
      </c>
    </row>
    <row r="50" spans="1:14" ht="47.25" x14ac:dyDescent="0.25">
      <c r="A50" s="281" t="s">
        <v>495</v>
      </c>
      <c r="B50" s="281" t="s">
        <v>496</v>
      </c>
      <c r="C50" s="285" t="s">
        <v>424</v>
      </c>
      <c r="D50" s="285" t="s">
        <v>424</v>
      </c>
      <c r="E50" s="285" t="s">
        <v>424</v>
      </c>
      <c r="F50" s="285" t="s">
        <v>424</v>
      </c>
      <c r="G50" s="286" t="s">
        <v>424</v>
      </c>
      <c r="H50" s="286" t="s">
        <v>424</v>
      </c>
      <c r="I50" s="280" t="s">
        <v>527</v>
      </c>
      <c r="J50" s="281" t="s">
        <v>424</v>
      </c>
      <c r="N50" s="238" t="str">
        <f t="shared" si="0"/>
        <v>M_00.0018.0000184.2.</v>
      </c>
    </row>
    <row r="51" spans="1:14" ht="31.5" x14ac:dyDescent="0.25">
      <c r="A51" s="281" t="s">
        <v>497</v>
      </c>
      <c r="B51" s="281" t="s">
        <v>498</v>
      </c>
      <c r="C51" s="285" t="s">
        <v>424</v>
      </c>
      <c r="D51" s="285" t="s">
        <v>424</v>
      </c>
      <c r="E51" s="285" t="s">
        <v>424</v>
      </c>
      <c r="F51" s="285" t="s">
        <v>424</v>
      </c>
      <c r="G51" s="286" t="s">
        <v>424</v>
      </c>
      <c r="H51" s="286" t="s">
        <v>424</v>
      </c>
      <c r="I51" s="280" t="s">
        <v>527</v>
      </c>
      <c r="J51" s="281" t="s">
        <v>424</v>
      </c>
      <c r="N51" s="238" t="str">
        <f t="shared" si="0"/>
        <v>M_00.0018.0000184.3.</v>
      </c>
    </row>
    <row r="52" spans="1:14" ht="31.5" x14ac:dyDescent="0.25">
      <c r="A52" s="283" t="s">
        <v>499</v>
      </c>
      <c r="B52" s="281" t="s">
        <v>500</v>
      </c>
      <c r="C52" s="285" t="s">
        <v>424</v>
      </c>
      <c r="D52" s="285" t="s">
        <v>424</v>
      </c>
      <c r="E52" s="285" t="s">
        <v>424</v>
      </c>
      <c r="F52" s="285" t="s">
        <v>424</v>
      </c>
      <c r="G52" s="286" t="s">
        <v>424</v>
      </c>
      <c r="H52" s="286" t="s">
        <v>424</v>
      </c>
      <c r="I52" s="280" t="s">
        <v>527</v>
      </c>
      <c r="J52" s="281" t="s">
        <v>424</v>
      </c>
      <c r="N52" s="238" t="str">
        <f t="shared" si="0"/>
        <v>M_00.0018.0000184.4.</v>
      </c>
    </row>
    <row r="53" spans="1:14" x14ac:dyDescent="0.25">
      <c r="A53" s="281" t="s">
        <v>501</v>
      </c>
      <c r="B53" s="284" t="s">
        <v>502</v>
      </c>
      <c r="C53" s="285">
        <v>45290</v>
      </c>
      <c r="D53" s="285">
        <v>46021</v>
      </c>
      <c r="E53" s="285">
        <v>45290</v>
      </c>
      <c r="F53" s="285">
        <v>46384</v>
      </c>
      <c r="G53" s="286" t="s">
        <v>424</v>
      </c>
      <c r="H53" s="286" t="s">
        <v>424</v>
      </c>
      <c r="I53" s="280" t="s">
        <v>527</v>
      </c>
      <c r="J53" s="281" t="s">
        <v>424</v>
      </c>
      <c r="N53" s="238" t="str">
        <f t="shared" si="0"/>
        <v>M_00.0018.0000184.5.</v>
      </c>
    </row>
    <row r="54" spans="1:14" x14ac:dyDescent="0.25">
      <c r="A54" s="281" t="s">
        <v>503</v>
      </c>
      <c r="B54" s="281" t="s">
        <v>504</v>
      </c>
      <c r="C54" s="285" t="s">
        <v>424</v>
      </c>
      <c r="D54" s="285" t="s">
        <v>424</v>
      </c>
      <c r="E54" s="285" t="s">
        <v>424</v>
      </c>
      <c r="F54" s="285" t="s">
        <v>424</v>
      </c>
      <c r="G54" s="286" t="s">
        <v>424</v>
      </c>
      <c r="H54" s="286" t="s">
        <v>424</v>
      </c>
      <c r="I54" s="280" t="s">
        <v>527</v>
      </c>
      <c r="J54" s="281" t="s">
        <v>424</v>
      </c>
      <c r="N54" s="238" t="str">
        <f t="shared" si="0"/>
        <v>M_00.0018.0000184.6.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2025-08-08T09:48:42Z</dcterms:modified>
</cp:coreProperties>
</file>